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24226"/>
  <mc:AlternateContent xmlns:mc="http://schemas.openxmlformats.org/markup-compatibility/2006">
    <mc:Choice Requires="x15">
      <x15ac:absPath xmlns:x15ac="http://schemas.microsoft.com/office/spreadsheetml/2010/11/ac" url="C:\Users\snus1\Nextcloud\KGA\_KGA WEITERENTWICKLUNG\KGA 2026\"/>
    </mc:Choice>
  </mc:AlternateContent>
  <xr:revisionPtr revIDLastSave="0" documentId="13_ncr:1_{50946715-11F2-4712-8A8C-AFF560FA0ED4}" xr6:coauthVersionLast="47" xr6:coauthVersionMax="47" xr10:uidLastSave="{00000000-0000-0000-0000-000000000000}"/>
  <bookViews>
    <workbookView xWindow="19095" yWindow="0" windowWidth="19410" windowHeight="20985" tabRatio="661" firstSheet="1" activeTab="1" xr2:uid="{00000000-000D-0000-FFFF-FFFF00000000}"/>
  </bookViews>
  <sheets>
    <sheet name="Deckblatt" sheetId="20" r:id="rId1"/>
    <sheet name="Punktevergabe" sheetId="5" r:id="rId2"/>
    <sheet name="A.3" sheetId="47" r:id="rId3"/>
    <sheet name="A.4" sheetId="48" r:id="rId4"/>
    <sheet name="A.6" sheetId="49" r:id="rId5"/>
    <sheet name="A.7" sheetId="50" r:id="rId6"/>
    <sheet name="A.8" sheetId="51" r:id="rId7"/>
    <sheet name="Komm. Beurteilung" sheetId="29" r:id="rId8"/>
    <sheet name="B1b " sheetId="44" state="hidden" r:id="rId9"/>
    <sheet name="B1b Graphik" sheetId="45" state="hidden" r:id="rId10"/>
    <sheet name="B.3" sheetId="52" r:id="rId11"/>
    <sheet name="C.1" sheetId="43" r:id="rId12"/>
    <sheet name="C.2" sheetId="10" r:id="rId13"/>
    <sheet name="D.1" sheetId="12" r:id="rId14"/>
    <sheet name="D.2" sheetId="30" r:id="rId15"/>
  </sheets>
  <definedNames>
    <definedName name="a">#REF!</definedName>
    <definedName name="_xlnm.Print_Area" localSheetId="7">'Komm. Beurteilung'!$A$1:$G$77,'Komm. Beurteilung'!$A$82:$G$116,'Komm. Beurteilung'!$A$121:$G$155</definedName>
    <definedName name="Gebaeude">#REF!</definedName>
    <definedName name="Gebaeudetyp">#REF!</definedName>
    <definedName name="Gebäudetyp">#REF!</definedName>
    <definedName name="Gemeinde">#REF!</definedName>
    <definedName name="Heizgradtage">#REF!</definedName>
    <definedName name="HGT">#REF!</definedName>
    <definedName name="Kommunen">#REF!</definedName>
    <definedName name="Max">#REF!</definedName>
    <definedName name="Min">#REF!</definedName>
    <definedName name="Objekttyp">#REF!</definedName>
    <definedName name="Orte">#REF!</definedName>
    <definedName name="Planstand">#REF!</definedName>
    <definedName name="Punktemax">#REF!</definedName>
    <definedName name="Punktemin">#REF!</definedName>
    <definedName name="sfdgs">#REF!</definedName>
    <definedName name="Z_900BB99C_5F12_4578_9AB6_A71D1D7EE1B7_.wvu.PrintArea" localSheetId="1" hidden="1">Punktevergabe!$B$1:$G$39</definedName>
    <definedName name="Z_900BB99C_5F12_4578_9AB6_A71D1D7EE1B7_.wvu.PrintTitles" localSheetId="1" hidden="1">Punktevergabe!$1:$12</definedName>
    <definedName name="Z_900BB99C_5F12_4578_9AB6_A71D1D7EE1B7_.wvu.Rows" localSheetId="1" hidden="1">Punktevergabe!$9:$9</definedName>
  </definedNames>
  <calcPr calcId="191029"/>
  <customWorkbookViews>
    <customWorkbookView name="Martin Brunn - Persönliche Ansicht" guid="{900BB99C-5F12-4578-9AB6-A71D1D7EE1B7}" mergeInterval="0" personalView="1" maximized="1" windowWidth="1396" windowHeight="88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48" l="1"/>
  <c r="P40" i="48" l="1"/>
  <c r="P39" i="48"/>
  <c r="P41" i="48" s="1"/>
  <c r="P42" i="48" s="1"/>
  <c r="P38" i="48"/>
  <c r="B32" i="12" l="1"/>
  <c r="B24" i="12"/>
  <c r="B16" i="12"/>
  <c r="B8" i="12"/>
  <c r="R31" i="5" l="1"/>
  <c r="U31" i="5"/>
  <c r="D6" i="52" l="1"/>
  <c r="B15" i="51"/>
  <c r="D6" i="51"/>
  <c r="G21" i="5" s="1"/>
  <c r="E11" i="50"/>
  <c r="E9" i="50"/>
  <c r="E12" i="50" s="1"/>
  <c r="G20" i="5" s="1"/>
  <c r="E7" i="50"/>
  <c r="E9" i="49"/>
  <c r="G19" i="5" s="1"/>
  <c r="E29" i="48"/>
  <c r="R17" i="5" s="1"/>
  <c r="B18" i="5"/>
  <c r="F49" i="47"/>
  <c r="L46" i="47"/>
  <c r="F41" i="47"/>
  <c r="F13" i="47"/>
  <c r="L16" i="5" l="1"/>
  <c r="R29" i="5"/>
  <c r="L29" i="5"/>
  <c r="O29" i="5"/>
  <c r="U29" i="5"/>
  <c r="O17" i="5"/>
  <c r="U17" i="5"/>
  <c r="L17" i="5"/>
  <c r="F52" i="47"/>
  <c r="O16" i="5" l="1"/>
  <c r="U16" i="5"/>
  <c r="R16" i="5"/>
  <c r="B31" i="12" l="1"/>
  <c r="B23" i="12"/>
  <c r="B15" i="12"/>
  <c r="B7" i="12"/>
  <c r="B33" i="12" l="1"/>
  <c r="U37" i="5" s="1"/>
  <c r="B25" i="12"/>
  <c r="R37" i="5" s="1"/>
  <c r="B17" i="12"/>
  <c r="O37" i="5" s="1"/>
  <c r="B9" i="12"/>
  <c r="L37" i="5" s="1"/>
  <c r="F46" i="29" l="1"/>
  <c r="F37" i="29"/>
  <c r="F36" i="29"/>
  <c r="F18" i="29"/>
  <c r="F19" i="29"/>
  <c r="F20" i="29"/>
  <c r="F21" i="29"/>
  <c r="F22" i="29"/>
  <c r="F23" i="29"/>
  <c r="F24" i="29"/>
  <c r="F25" i="29"/>
  <c r="F26" i="29"/>
  <c r="F27" i="29"/>
  <c r="F28" i="29"/>
  <c r="F29" i="29"/>
  <c r="F30" i="29"/>
  <c r="F31" i="29"/>
  <c r="F32" i="29"/>
  <c r="F33" i="29"/>
  <c r="F34" i="29"/>
  <c r="F17" i="29"/>
  <c r="F12" i="29"/>
  <c r="F13" i="29"/>
  <c r="F14" i="29"/>
  <c r="F15" i="29"/>
  <c r="F11" i="29"/>
  <c r="F9" i="29"/>
  <c r="F8" i="29"/>
  <c r="F7" i="29"/>
  <c r="F6" i="29"/>
  <c r="C38" i="29"/>
  <c r="F38" i="29" l="1"/>
  <c r="G38" i="29" s="1"/>
  <c r="K28" i="5" l="1"/>
  <c r="R14" i="5"/>
  <c r="U14" i="5"/>
  <c r="O14" i="5"/>
  <c r="L14" i="5"/>
  <c r="B24" i="30"/>
  <c r="B18" i="30"/>
  <c r="B12" i="30"/>
  <c r="B6" i="30"/>
  <c r="A3" i="44"/>
  <c r="P95" i="45"/>
  <c r="P96" i="45"/>
  <c r="P97" i="45"/>
  <c r="P98" i="45"/>
  <c r="P99" i="45"/>
  <c r="P100" i="45"/>
  <c r="P101" i="45"/>
  <c r="P102" i="45"/>
  <c r="P103" i="45"/>
  <c r="P104" i="45"/>
  <c r="P105" i="45"/>
  <c r="P106" i="45"/>
  <c r="P107" i="45"/>
  <c r="P108" i="45"/>
  <c r="P109" i="45"/>
  <c r="P110" i="45"/>
  <c r="P111" i="45"/>
  <c r="P112" i="45"/>
  <c r="P113" i="45"/>
  <c r="P114" i="45"/>
  <c r="P115" i="45"/>
  <c r="P116" i="45"/>
  <c r="P117" i="45"/>
  <c r="P118" i="45"/>
  <c r="P119" i="45"/>
  <c r="P120" i="45"/>
  <c r="P121" i="45"/>
  <c r="P122" i="45"/>
  <c r="P123" i="45"/>
  <c r="P124" i="45"/>
  <c r="M95" i="45"/>
  <c r="M96" i="45"/>
  <c r="M97" i="45"/>
  <c r="M98" i="45"/>
  <c r="M99" i="45"/>
  <c r="M100" i="45"/>
  <c r="M101" i="45"/>
  <c r="M102" i="45"/>
  <c r="M103" i="45"/>
  <c r="M104" i="45"/>
  <c r="M105" i="45"/>
  <c r="M106" i="45"/>
  <c r="M107" i="45"/>
  <c r="M108" i="45"/>
  <c r="M109" i="45"/>
  <c r="M110" i="45"/>
  <c r="M111" i="45"/>
  <c r="M112" i="45"/>
  <c r="M113" i="45"/>
  <c r="M114" i="45"/>
  <c r="M115" i="45"/>
  <c r="M116" i="45"/>
  <c r="M117" i="45"/>
  <c r="M118" i="45"/>
  <c r="M119" i="45"/>
  <c r="M120" i="45"/>
  <c r="M121" i="45"/>
  <c r="M122" i="45"/>
  <c r="M123" i="45"/>
  <c r="M124" i="45"/>
  <c r="M125" i="45"/>
  <c r="M126" i="45"/>
  <c r="M127" i="45"/>
  <c r="M128" i="45"/>
  <c r="M129" i="45"/>
  <c r="M130" i="45"/>
  <c r="M131" i="45"/>
  <c r="M132" i="45"/>
  <c r="M133" i="45"/>
  <c r="M134" i="45"/>
  <c r="M135" i="45"/>
  <c r="M136" i="45"/>
  <c r="M137" i="45"/>
  <c r="M138" i="45"/>
  <c r="M139" i="45"/>
  <c r="M140" i="45"/>
  <c r="M141" i="45"/>
  <c r="M142" i="45"/>
  <c r="M143" i="45"/>
  <c r="M144" i="45"/>
  <c r="M145" i="45"/>
  <c r="M146" i="45"/>
  <c r="M147" i="45"/>
  <c r="M148" i="45"/>
  <c r="M149" i="45"/>
  <c r="M150" i="45"/>
  <c r="M151" i="45"/>
  <c r="M152" i="45"/>
  <c r="M153" i="45"/>
  <c r="M154" i="45"/>
  <c r="M155" i="45"/>
  <c r="M156" i="45"/>
  <c r="M157" i="45"/>
  <c r="M158" i="45"/>
  <c r="M159" i="45"/>
  <c r="M160" i="45"/>
  <c r="M161" i="45"/>
  <c r="M162" i="45"/>
  <c r="M163" i="45"/>
  <c r="M164" i="45"/>
  <c r="M165" i="45"/>
  <c r="M166" i="45"/>
  <c r="M167" i="45"/>
  <c r="M168" i="45"/>
  <c r="M169" i="45"/>
  <c r="M170" i="45"/>
  <c r="M171" i="45"/>
  <c r="M172" i="45"/>
  <c r="M173" i="45"/>
  <c r="M174" i="45"/>
  <c r="M175" i="45"/>
  <c r="M176" i="45"/>
  <c r="M177" i="45"/>
  <c r="M178" i="45"/>
  <c r="M179" i="45"/>
  <c r="M180" i="45"/>
  <c r="M181" i="45"/>
  <c r="M182" i="45"/>
  <c r="M183" i="45"/>
  <c r="M184" i="45"/>
  <c r="M185" i="45"/>
  <c r="M186" i="45"/>
  <c r="M187" i="45"/>
  <c r="M188" i="45"/>
  <c r="M189" i="45"/>
  <c r="M190" i="45"/>
  <c r="M191" i="45"/>
  <c r="M192" i="45"/>
  <c r="M193" i="45"/>
  <c r="M194" i="45"/>
  <c r="M195" i="45"/>
  <c r="M196" i="45"/>
  <c r="M197" i="45"/>
  <c r="M198" i="45"/>
  <c r="M199" i="45"/>
  <c r="M200" i="45"/>
  <c r="M201" i="45"/>
  <c r="M202" i="45"/>
  <c r="M203" i="45"/>
  <c r="M204" i="45"/>
  <c r="M205" i="45"/>
  <c r="M206" i="45"/>
  <c r="M207" i="45"/>
  <c r="M208" i="45"/>
  <c r="M209" i="45"/>
  <c r="M210" i="45"/>
  <c r="M211" i="45"/>
  <c r="M212" i="45"/>
  <c r="M213" i="45"/>
  <c r="M214" i="45"/>
  <c r="M215" i="45"/>
  <c r="M216" i="45"/>
  <c r="M217" i="45"/>
  <c r="M218" i="45"/>
  <c r="M219" i="45"/>
  <c r="M220" i="45"/>
  <c r="M221" i="45"/>
  <c r="M222" i="45"/>
  <c r="M223" i="45"/>
  <c r="M224" i="45"/>
  <c r="M225" i="45"/>
  <c r="M226" i="45"/>
  <c r="M227" i="45"/>
  <c r="M228" i="45"/>
  <c r="M229" i="45"/>
  <c r="M230" i="45"/>
  <c r="M231" i="45"/>
  <c r="M232" i="45"/>
  <c r="M233" i="45"/>
  <c r="M234" i="45"/>
  <c r="M235" i="45"/>
  <c r="M236" i="45"/>
  <c r="M237" i="45"/>
  <c r="M238" i="45"/>
  <c r="M239" i="45"/>
  <c r="M240" i="45"/>
  <c r="M241" i="45"/>
  <c r="M242" i="45"/>
  <c r="M243" i="45"/>
  <c r="M244" i="45"/>
  <c r="J95" i="45"/>
  <c r="J96" i="45"/>
  <c r="J97" i="45"/>
  <c r="J98" i="45"/>
  <c r="J99" i="45"/>
  <c r="J100" i="45"/>
  <c r="J101" i="45"/>
  <c r="J102" i="45"/>
  <c r="J103" i="45"/>
  <c r="J104" i="45"/>
  <c r="J105" i="45"/>
  <c r="J106" i="45"/>
  <c r="J107" i="45"/>
  <c r="J108" i="45"/>
  <c r="J109" i="45"/>
  <c r="J110" i="45"/>
  <c r="J111" i="45"/>
  <c r="J112" i="45"/>
  <c r="J113" i="45"/>
  <c r="J114" i="45"/>
  <c r="J115" i="45"/>
  <c r="J116" i="45"/>
  <c r="J117" i="45"/>
  <c r="J118" i="45"/>
  <c r="J119" i="45"/>
  <c r="J120" i="45"/>
  <c r="J121" i="45"/>
  <c r="J122" i="45"/>
  <c r="J123" i="45"/>
  <c r="J124" i="45"/>
  <c r="J125" i="45"/>
  <c r="J126" i="45"/>
  <c r="J127" i="45"/>
  <c r="J128" i="45"/>
  <c r="J129" i="45"/>
  <c r="J130" i="45"/>
  <c r="J131" i="45"/>
  <c r="J132" i="45"/>
  <c r="J133" i="45"/>
  <c r="J134" i="45"/>
  <c r="G95" i="45"/>
  <c r="G96" i="45"/>
  <c r="G97" i="45"/>
  <c r="G98" i="45"/>
  <c r="G99" i="45"/>
  <c r="G100" i="45"/>
  <c r="G101" i="45"/>
  <c r="G102" i="45"/>
  <c r="G103" i="45"/>
  <c r="G104" i="45"/>
  <c r="G105" i="45"/>
  <c r="G106" i="45"/>
  <c r="G107" i="45"/>
  <c r="G108" i="45"/>
  <c r="G109" i="45"/>
  <c r="G110" i="45"/>
  <c r="G111" i="45"/>
  <c r="G112" i="45"/>
  <c r="G113" i="45"/>
  <c r="G114" i="45"/>
  <c r="G115" i="45"/>
  <c r="G116" i="45"/>
  <c r="G117" i="45"/>
  <c r="G118" i="45"/>
  <c r="G119" i="45"/>
  <c r="G120" i="45"/>
  <c r="G121" i="45"/>
  <c r="G122" i="45"/>
  <c r="G123" i="45"/>
  <c r="G124" i="45"/>
  <c r="G125" i="45"/>
  <c r="G126" i="45"/>
  <c r="G127" i="45"/>
  <c r="G128" i="45"/>
  <c r="G129" i="45"/>
  <c r="D95" i="45"/>
  <c r="D96" i="45"/>
  <c r="D97" i="45"/>
  <c r="D98" i="45"/>
  <c r="D99" i="45"/>
  <c r="D100" i="45"/>
  <c r="D101" i="45"/>
  <c r="D102" i="45"/>
  <c r="D103" i="45"/>
  <c r="D104" i="45"/>
  <c r="D105" i="45"/>
  <c r="D106" i="45"/>
  <c r="D107" i="45"/>
  <c r="D108" i="45"/>
  <c r="D109" i="45"/>
  <c r="D110" i="45"/>
  <c r="D111" i="45"/>
  <c r="D112" i="45"/>
  <c r="D113" i="45"/>
  <c r="D114" i="45"/>
  <c r="D115" i="45"/>
  <c r="D116" i="45"/>
  <c r="D117" i="45"/>
  <c r="D118" i="45"/>
  <c r="D119" i="45"/>
  <c r="D120" i="45"/>
  <c r="D121" i="45"/>
  <c r="D122" i="45"/>
  <c r="D123" i="45"/>
  <c r="D124" i="45"/>
  <c r="D125" i="45"/>
  <c r="D126" i="45"/>
  <c r="D127" i="45"/>
  <c r="D128" i="45"/>
  <c r="D129" i="45"/>
  <c r="D130" i="45"/>
  <c r="D131" i="45"/>
  <c r="D132" i="45"/>
  <c r="D133" i="45"/>
  <c r="D134" i="45"/>
  <c r="D135" i="45"/>
  <c r="D136" i="45"/>
  <c r="D137" i="45"/>
  <c r="D138" i="45"/>
  <c r="D139" i="45"/>
  <c r="D140" i="45"/>
  <c r="D141" i="45"/>
  <c r="D142" i="45"/>
  <c r="D143" i="45"/>
  <c r="D144" i="45"/>
  <c r="D145" i="45"/>
  <c r="D146" i="45"/>
  <c r="D147" i="45"/>
  <c r="D148" i="45"/>
  <c r="D149" i="45"/>
  <c r="D150" i="45"/>
  <c r="D151" i="45"/>
  <c r="D152" i="45"/>
  <c r="D153" i="45"/>
  <c r="D154" i="45"/>
  <c r="D155" i="45"/>
  <c r="D156" i="45"/>
  <c r="D157" i="45"/>
  <c r="D158" i="45"/>
  <c r="D159" i="45"/>
  <c r="D160" i="45"/>
  <c r="D161" i="45"/>
  <c r="D162" i="45"/>
  <c r="D163" i="45"/>
  <c r="D164" i="45"/>
  <c r="D165" i="45"/>
  <c r="D166" i="45"/>
  <c r="D167" i="45"/>
  <c r="D168" i="45"/>
  <c r="D169" i="45"/>
  <c r="D170" i="45"/>
  <c r="D171" i="45"/>
  <c r="P94" i="45"/>
  <c r="M94" i="45"/>
  <c r="J94" i="45"/>
  <c r="G94" i="45"/>
  <c r="D94" i="45"/>
  <c r="G17" i="44" l="1"/>
  <c r="G16" i="44"/>
  <c r="G15" i="44"/>
  <c r="G14" i="44"/>
  <c r="G13" i="44"/>
  <c r="G12" i="44"/>
  <c r="G11" i="44"/>
  <c r="G27" i="44" s="1"/>
  <c r="B27" i="44" s="1"/>
  <c r="G10" i="44"/>
  <c r="G9" i="44"/>
  <c r="G8" i="44"/>
  <c r="G7" i="44"/>
  <c r="G6" i="44"/>
  <c r="G25" i="44" s="1"/>
  <c r="B25" i="44" s="1"/>
  <c r="G5" i="44"/>
  <c r="G4" i="44"/>
  <c r="C21" i="43"/>
  <c r="O32" i="5" s="1"/>
  <c r="O31" i="5" s="1"/>
  <c r="C12" i="43"/>
  <c r="L32" i="5" s="1"/>
  <c r="D9" i="43"/>
  <c r="D8" i="43"/>
  <c r="D7" i="43"/>
  <c r="L6" i="43"/>
  <c r="L7" i="43" s="1"/>
  <c r="D6" i="43"/>
  <c r="O21" i="5"/>
  <c r="L20" i="5" l="1"/>
  <c r="G24" i="44"/>
  <c r="B24" i="44" s="1"/>
  <c r="G23" i="44"/>
  <c r="B23" i="44" s="1"/>
  <c r="G22" i="44"/>
  <c r="B22" i="44" s="1"/>
  <c r="L21" i="5"/>
  <c r="O20" i="5" l="1"/>
  <c r="G29" i="44"/>
  <c r="B29" i="44" s="1"/>
  <c r="G28" i="44"/>
  <c r="B28" i="44" s="1"/>
  <c r="G26" i="44"/>
  <c r="B26" i="44" s="1"/>
  <c r="O19" i="5" l="1"/>
  <c r="L19" i="5"/>
  <c r="D13" i="10" l="1"/>
  <c r="L33" i="5" s="1"/>
  <c r="U15" i="5" l="1"/>
  <c r="U13" i="5" s="1"/>
  <c r="R15" i="5"/>
  <c r="R13" i="5" s="1"/>
  <c r="O15" i="5"/>
  <c r="O13" i="5" s="1"/>
  <c r="L15" i="5"/>
  <c r="L13" i="5" s="1"/>
  <c r="U38" i="5" l="1"/>
  <c r="R38" i="5"/>
  <c r="O38" i="5"/>
  <c r="O36" i="5" s="1"/>
  <c r="O35" i="5" s="1"/>
  <c r="U36" i="5" l="1"/>
  <c r="U35" i="5" s="1"/>
  <c r="R36" i="5"/>
  <c r="R35" i="5" s="1"/>
  <c r="L38" i="5"/>
  <c r="L36" i="5" s="1"/>
  <c r="L35" i="5" s="1"/>
  <c r="F154" i="29" l="1"/>
  <c r="F153" i="29"/>
  <c r="F135" i="29"/>
  <c r="F136" i="29"/>
  <c r="F137" i="29"/>
  <c r="F138" i="29"/>
  <c r="F139" i="29"/>
  <c r="F140" i="29"/>
  <c r="F141" i="29"/>
  <c r="F142" i="29"/>
  <c r="F143" i="29"/>
  <c r="F144" i="29"/>
  <c r="F145" i="29"/>
  <c r="F146" i="29"/>
  <c r="F147" i="29"/>
  <c r="F148" i="29"/>
  <c r="F149" i="29"/>
  <c r="F150" i="29"/>
  <c r="F151" i="29"/>
  <c r="F134" i="29"/>
  <c r="F129" i="29"/>
  <c r="F130" i="29"/>
  <c r="F131" i="29"/>
  <c r="F132" i="29"/>
  <c r="F128" i="29"/>
  <c r="F124" i="29"/>
  <c r="F125" i="29"/>
  <c r="F126" i="29"/>
  <c r="F123" i="29"/>
  <c r="F115" i="29"/>
  <c r="F114" i="29"/>
  <c r="F96" i="29"/>
  <c r="F97" i="29"/>
  <c r="F98" i="29"/>
  <c r="F99" i="29"/>
  <c r="F100" i="29"/>
  <c r="F101" i="29"/>
  <c r="F102" i="29"/>
  <c r="F103" i="29"/>
  <c r="F104" i="29"/>
  <c r="F105" i="29"/>
  <c r="F106" i="29"/>
  <c r="F107" i="29"/>
  <c r="F108" i="29"/>
  <c r="F109" i="29"/>
  <c r="F110" i="29"/>
  <c r="F111" i="29"/>
  <c r="F112" i="29"/>
  <c r="F95" i="29"/>
  <c r="F90" i="29"/>
  <c r="F91" i="29"/>
  <c r="F92" i="29"/>
  <c r="F93" i="29"/>
  <c r="F89" i="29"/>
  <c r="F85" i="29"/>
  <c r="F86" i="29"/>
  <c r="F87" i="29"/>
  <c r="F84" i="29"/>
  <c r="F116" i="29" l="1"/>
  <c r="F155" i="29"/>
  <c r="G155" i="29" s="1"/>
  <c r="G116" i="29" l="1"/>
  <c r="T28" i="5"/>
  <c r="Q28" i="5"/>
  <c r="F75" i="29" l="1"/>
  <c r="F73" i="29"/>
  <c r="F72" i="29"/>
  <c r="F71" i="29"/>
  <c r="F70" i="29"/>
  <c r="F69" i="29"/>
  <c r="F68" i="29"/>
  <c r="F67" i="29"/>
  <c r="F66" i="29"/>
  <c r="F65" i="29"/>
  <c r="F64" i="29"/>
  <c r="F63" i="29"/>
  <c r="F62" i="29"/>
  <c r="F61" i="29"/>
  <c r="F60" i="29"/>
  <c r="F59" i="29"/>
  <c r="F58" i="29"/>
  <c r="F57" i="29"/>
  <c r="F56" i="29"/>
  <c r="F50" i="29"/>
  <c r="C155" i="29" l="1"/>
  <c r="F47" i="29"/>
  <c r="F76" i="29"/>
  <c r="C116" i="29"/>
  <c r="F52" i="29"/>
  <c r="C77" i="29"/>
  <c r="F53" i="29"/>
  <c r="F48" i="29"/>
  <c r="F45" i="29"/>
  <c r="F54" i="29"/>
  <c r="F51" i="29"/>
  <c r="F77" i="29" l="1"/>
  <c r="G77" i="29" s="1"/>
  <c r="C9" i="5"/>
  <c r="G17" i="5" s="1"/>
  <c r="F33" i="5" l="1"/>
  <c r="G33" i="5" s="1"/>
  <c r="G16" i="5"/>
  <c r="F13" i="5"/>
  <c r="F35" i="5"/>
  <c r="F32" i="5"/>
  <c r="G32" i="5" s="1"/>
  <c r="F31" i="5"/>
  <c r="N28" i="5"/>
  <c r="F36" i="5"/>
  <c r="G37" i="5"/>
  <c r="G38" i="5"/>
  <c r="F23" i="5"/>
  <c r="G13" i="5" l="1"/>
  <c r="G36" i="5"/>
  <c r="G35" i="5" s="1"/>
  <c r="AV1" i="5"/>
  <c r="AQ1" i="5"/>
  <c r="AL1" i="5"/>
  <c r="AG1" i="5"/>
  <c r="AB1" i="5"/>
  <c r="W1" i="5"/>
  <c r="B36" i="5"/>
  <c r="L31" i="5" l="1"/>
  <c r="L23" i="5"/>
  <c r="G31" i="5" l="1"/>
  <c r="U23" i="5"/>
  <c r="R23" i="5"/>
  <c r="O23" i="5"/>
  <c r="G23" i="5" l="1"/>
  <c r="G39" i="5" s="1"/>
  <c r="G9" i="5"/>
  <c r="F9" i="5" l="1"/>
  <c r="B20" i="20" s="1"/>
  <c r="C24" i="5" l="1"/>
</calcChain>
</file>

<file path=xl/sharedStrings.xml><?xml version="1.0" encoding="utf-8"?>
<sst xmlns="http://schemas.openxmlformats.org/spreadsheetml/2006/main" count="809" uniqueCount="435">
  <si>
    <t xml:space="preserve">Projektdaten </t>
  </si>
  <si>
    <t>Genaue Bezeichnung des Bauvorhabens</t>
  </si>
  <si>
    <t>Objekttyp</t>
  </si>
  <si>
    <t>Standortgemeinde</t>
  </si>
  <si>
    <t>Funktion des Gebäudes</t>
  </si>
  <si>
    <t>Architekt</t>
  </si>
  <si>
    <t>Baubeginn</t>
  </si>
  <si>
    <t>Zeitpunkt der Fertigstellung</t>
  </si>
  <si>
    <t>Minuspunkte (Bagatellverletzung, Mindestanforderungen bei isoliert stehendem Gebäude nicht erfüllt)</t>
  </si>
  <si>
    <t>KGA-Bewertungspunkte</t>
  </si>
  <si>
    <t>KGA -Prüfer</t>
  </si>
  <si>
    <t>Genaue Firmenbezeichnung des KGA-Prüfers</t>
  </si>
  <si>
    <t>Name des KGA Prüfers</t>
  </si>
  <si>
    <t xml:space="preserve">KGA - Erstelldatum </t>
  </si>
  <si>
    <t>Datum</t>
  </si>
  <si>
    <t>Firmen-Stampiglie und Unterschrift</t>
  </si>
  <si>
    <t>Projekt</t>
  </si>
  <si>
    <t>Stand 1</t>
  </si>
  <si>
    <t>Stand 2</t>
  </si>
  <si>
    <t>Stand 3</t>
  </si>
  <si>
    <t>Stand 4</t>
  </si>
  <si>
    <t>Stand 5</t>
  </si>
  <si>
    <t>Stand 6</t>
  </si>
  <si>
    <r>
      <rPr>
        <b/>
        <u/>
        <sz val="14"/>
        <rFont val="Arial"/>
        <family val="2"/>
      </rPr>
      <t xml:space="preserve">Volumen </t>
    </r>
    <r>
      <rPr>
        <b/>
        <u/>
        <sz val="11"/>
        <rFont val="Arial"/>
        <family val="2"/>
      </rPr>
      <t>(überbaute Volumen bzw. falls vorhanden konditioniertes Volumen)</t>
    </r>
  </si>
  <si>
    <t>Anmerkungen:</t>
  </si>
  <si>
    <t>vollkonditioniert</t>
  </si>
  <si>
    <r>
      <t>m</t>
    </r>
    <r>
      <rPr>
        <b/>
        <sz val="18"/>
        <rFont val="Arial"/>
        <family val="2"/>
      </rPr>
      <t>³</t>
    </r>
  </si>
  <si>
    <t>Eingabefelder</t>
  </si>
  <si>
    <t>Rechenfelder</t>
  </si>
  <si>
    <t>unkonditioniert (offen)</t>
  </si>
  <si>
    <t>Gesamt</t>
  </si>
  <si>
    <t>Summe</t>
  </si>
  <si>
    <t>Teilbepunktung</t>
  </si>
  <si>
    <t>Stand:</t>
  </si>
  <si>
    <t>Vollkonditioniert</t>
  </si>
  <si>
    <t>unkonditioniert
(offen)</t>
  </si>
  <si>
    <t>Nr.</t>
  </si>
  <si>
    <t>Titel</t>
  </si>
  <si>
    <t>max. Punktzahl</t>
  </si>
  <si>
    <t>erreichte Punkte</t>
  </si>
  <si>
    <t>Punkte</t>
  </si>
  <si>
    <t>A</t>
  </si>
  <si>
    <t>Nicht relevant im KGA minderbeheizte Gebäude</t>
  </si>
  <si>
    <t>Haustechnik-Konzept</t>
  </si>
  <si>
    <t>max. 30</t>
  </si>
  <si>
    <t>Reinigungs- und Instandhaltungsfreundlichkeit</t>
  </si>
  <si>
    <t>Regenwassernutzung</t>
  </si>
  <si>
    <t>B</t>
  </si>
  <si>
    <r>
      <t>Heizwärmebedarf HWB</t>
    </r>
    <r>
      <rPr>
        <b/>
        <vertAlign val="subscript"/>
        <sz val="10"/>
        <rFont val="Arial"/>
        <family val="2"/>
      </rPr>
      <t>SK</t>
    </r>
  </si>
  <si>
    <t xml:space="preserve">Punkte werden im Blatt 
"Komm. Beurteilung" 
vergeben: </t>
  </si>
  <si>
    <r>
      <t>LEK</t>
    </r>
    <r>
      <rPr>
        <b/>
        <vertAlign val="subscript"/>
        <sz val="10"/>
        <rFont val="Arial"/>
        <family val="2"/>
      </rPr>
      <t>T</t>
    </r>
    <r>
      <rPr>
        <b/>
        <sz val="10"/>
        <rFont val="Arial"/>
        <family val="2"/>
      </rPr>
      <t>-Wert</t>
    </r>
  </si>
  <si>
    <r>
      <t>Kühlbedarf KB</t>
    </r>
    <r>
      <rPr>
        <b/>
        <vertAlign val="subscript"/>
        <sz val="10"/>
        <rFont val="Arial"/>
        <family val="2"/>
      </rPr>
      <t>SK</t>
    </r>
  </si>
  <si>
    <r>
      <t>Primärenergiebedarf  PEB</t>
    </r>
    <r>
      <rPr>
        <b/>
        <vertAlign val="subscript"/>
        <sz val="10"/>
        <color indexed="8"/>
        <rFont val="Arial"/>
        <family val="2"/>
      </rPr>
      <t>SK</t>
    </r>
  </si>
  <si>
    <r>
      <t>Emissionen CO</t>
    </r>
    <r>
      <rPr>
        <b/>
        <vertAlign val="subscript"/>
        <sz val="10"/>
        <rFont val="Arial"/>
        <family val="2"/>
      </rPr>
      <t>2</t>
    </r>
    <r>
      <rPr>
        <b/>
        <sz val="10"/>
        <rFont val="Arial"/>
        <family val="2"/>
      </rPr>
      <t xml:space="preserve">-Äquivalente </t>
    </r>
  </si>
  <si>
    <t>C</t>
  </si>
  <si>
    <t>Gesundheit und Komfort</t>
  </si>
  <si>
    <t>Thermischer Komfort im Sommer</t>
  </si>
  <si>
    <t xml:space="preserve">Messung Raumluftqualität </t>
  </si>
  <si>
    <t xml:space="preserve"> </t>
  </si>
  <si>
    <t>D</t>
  </si>
  <si>
    <t>Einsatz von Recyclingbeton</t>
  </si>
  <si>
    <r>
      <t>Entsorgungsindikator (EI</t>
    </r>
    <r>
      <rPr>
        <b/>
        <vertAlign val="subscript"/>
        <sz val="10"/>
        <color indexed="8"/>
        <rFont val="Arial"/>
        <family val="2"/>
      </rPr>
      <t>10</t>
    </r>
    <r>
      <rPr>
        <b/>
        <sz val="10"/>
        <color indexed="8"/>
        <rFont val="Arial"/>
        <family val="2"/>
      </rPr>
      <t xml:space="preserve">) </t>
    </r>
  </si>
  <si>
    <t>Kriterium</t>
  </si>
  <si>
    <t>Auswertung</t>
  </si>
  <si>
    <t>1. Ökologische Bauteiloptimierung in der Planung</t>
  </si>
  <si>
    <t>Zielerreichung</t>
  </si>
  <si>
    <t>Punkte (gesamt Max. 60)</t>
  </si>
  <si>
    <t>Beratungsprotokoll</t>
  </si>
  <si>
    <t>Naturnahe Außenflächen</t>
  </si>
  <si>
    <t>Artenschutz</t>
  </si>
  <si>
    <t>Artenschutz am Gebäude</t>
  </si>
  <si>
    <t>Erhalt oder Schaffung von Quartieren für gebäudebrütende Wildtiere</t>
  </si>
  <si>
    <t>Schutz vor Überschwemmungen</t>
  </si>
  <si>
    <t xml:space="preserve">Darstellung der Fließwege des Niederschlagswassers auf dem Grundstück durch einen Außenanlagenplan im Maßstab 1:200-1:300 </t>
  </si>
  <si>
    <t>Vermeidung von Überhitzung</t>
  </si>
  <si>
    <t>Verwendung von Materialien mit hellen Oberflächen und hohem Rückstrahlevermögen</t>
  </si>
  <si>
    <t>Beschreibung</t>
  </si>
  <si>
    <t>Kommentierung Haustechnik</t>
  </si>
  <si>
    <t>Konzept für Betrieb &amp; Wartung</t>
  </si>
  <si>
    <t>Einregulierung</t>
  </si>
  <si>
    <t>mehr als 3,00 m über dem Fussboden, wobei Reinigung nicht mit Reinigungsstange oder Trittleiter möglich ist</t>
  </si>
  <si>
    <r>
      <t>Nachweis</t>
    </r>
    <r>
      <rPr>
        <sz val="10"/>
        <color theme="1"/>
        <rFont val="Arial"/>
        <family val="2"/>
      </rPr>
      <t>: Beschreibung Art und Weise</t>
    </r>
  </si>
  <si>
    <t>max. 6</t>
  </si>
  <si>
    <t>Schmutzfangzonen</t>
  </si>
  <si>
    <t>Vorhanden an allen Eingangszonen</t>
  </si>
  <si>
    <r>
      <t>Nachweis</t>
    </r>
    <r>
      <rPr>
        <sz val="10"/>
        <color theme="1"/>
        <rFont val="Arial"/>
        <family val="2"/>
      </rPr>
      <t>: Planvorlage, Art und Weise</t>
    </r>
  </si>
  <si>
    <t>max. 3</t>
  </si>
  <si>
    <t>Sockelleisten/ wischfester Anstrich im Sockelbereich</t>
  </si>
  <si>
    <t>Vorhanden</t>
  </si>
  <si>
    <r>
      <t>Nachweis</t>
    </r>
    <r>
      <rPr>
        <sz val="10"/>
        <color theme="1"/>
        <rFont val="Arial"/>
        <family val="2"/>
      </rPr>
      <t>: ja/ nein; Beschreibung Art und Weise</t>
    </r>
  </si>
  <si>
    <t>max. 2</t>
  </si>
  <si>
    <t>Punkte 
(gesamt max. 10)</t>
  </si>
  <si>
    <t>Kommissionelle Beurteilung des Block B</t>
  </si>
  <si>
    <t>0…nicht vorhanden/erfüllt
1…geringer Erfüllungsgrad
5…sehr hoher Erfüllungsgrad</t>
  </si>
  <si>
    <t>Kommentare / Maßnahmen</t>
  </si>
  <si>
    <t>Wärmeschutz Winter</t>
  </si>
  <si>
    <t>LEK-Wert</t>
  </si>
  <si>
    <t>Wärmegewinne und Berücksichtigung der Nutzbarkeit</t>
  </si>
  <si>
    <t>Kompaktheit</t>
  </si>
  <si>
    <t>Heizwärmebedarf</t>
  </si>
  <si>
    <t>Wärmeschutz Sommer</t>
  </si>
  <si>
    <t>Fensterflächenanteil und -zuordnung</t>
  </si>
  <si>
    <t>Sonnenschutzmaßnahme</t>
  </si>
  <si>
    <t>verfügbare Speichermasse</t>
  </si>
  <si>
    <t>freie Nachtkühlung</t>
  </si>
  <si>
    <t>außeninduzierter Kühlbedarf</t>
  </si>
  <si>
    <t>Energieeffizienz Haustechnik</t>
  </si>
  <si>
    <t>Lüftungsanlage WRG</t>
  </si>
  <si>
    <t>Lüftungsanlage Regelung und Dimensionierung</t>
  </si>
  <si>
    <t>Druckverlustminimierung</t>
  </si>
  <si>
    <t>Wärmebereitstellung Heizung</t>
  </si>
  <si>
    <t>Nutzung erneurbarer Energien für Heizung</t>
  </si>
  <si>
    <t>Wärmeverteilung Heizung</t>
  </si>
  <si>
    <t>Wärmeabgabe Heizung/Regelung</t>
  </si>
  <si>
    <t>Wärmebereitstellung Warmwasser</t>
  </si>
  <si>
    <t>Wärmeverteilung, Puffer Warmwasser</t>
  </si>
  <si>
    <t>Nutzung erneurbarer Energien Warmwasser</t>
  </si>
  <si>
    <t>Wärmeabgabe Warmwasser</t>
  </si>
  <si>
    <t>Keine technische Kühlung (aktive und passive Systeme)</t>
  </si>
  <si>
    <t>Nutzung erneurbarer Energien für Kühlung</t>
  </si>
  <si>
    <t>Nutzerorientiertes Monitoring ; Nutzerschulung</t>
  </si>
  <si>
    <t>Licht und Beleuchtung</t>
  </si>
  <si>
    <t>Hilfsstrom Haustechnik</t>
  </si>
  <si>
    <t>Energieeffizienz Lift</t>
  </si>
  <si>
    <t>Endenergiebedarf</t>
  </si>
  <si>
    <t>Qualität der Ausführung</t>
  </si>
  <si>
    <t>Luftdichtheit</t>
  </si>
  <si>
    <t>Wärmebrücken</t>
  </si>
  <si>
    <t>Überpunktung (105% in Spalte C) möglich</t>
  </si>
  <si>
    <r>
      <t xml:space="preserve">Kommissionelle Beurteilung 
(unkonditionierter Bereich, </t>
    </r>
    <r>
      <rPr>
        <b/>
        <u/>
        <sz val="12"/>
        <rFont val="Arial"/>
        <family val="2"/>
      </rPr>
      <t>offener</t>
    </r>
    <r>
      <rPr>
        <b/>
        <sz val="12"/>
        <rFont val="Arial"/>
        <family val="2"/>
      </rPr>
      <t xml:space="preserve"> Bereich)</t>
    </r>
  </si>
  <si>
    <r>
      <t>B 1b Heizwärmebedarf HWB</t>
    </r>
    <r>
      <rPr>
        <b/>
        <vertAlign val="subscript"/>
        <sz val="12"/>
        <rFont val="Arial"/>
        <family val="2"/>
      </rPr>
      <t>SK</t>
    </r>
    <r>
      <rPr>
        <b/>
        <sz val="12"/>
        <rFont val="Arial"/>
        <family val="2"/>
      </rPr>
      <t>, Primärenergiebedarf und Emissionen CO</t>
    </r>
    <r>
      <rPr>
        <b/>
        <sz val="11"/>
        <rFont val="Arial"/>
        <family val="2"/>
      </rPr>
      <t>2</t>
    </r>
    <r>
      <rPr>
        <b/>
        <sz val="12"/>
        <rFont val="Arial"/>
        <family val="2"/>
      </rPr>
      <t xml:space="preserve">-Äquivalente nach OIB RL 6 2019 für </t>
    </r>
    <r>
      <rPr>
        <b/>
        <u/>
        <sz val="12"/>
        <rFont val="Arial"/>
        <family val="2"/>
      </rPr>
      <t>vollkonditionierten</t>
    </r>
    <r>
      <rPr>
        <b/>
        <sz val="12"/>
        <rFont val="Arial"/>
        <family val="2"/>
      </rPr>
      <t xml:space="preserve"> Bereich </t>
    </r>
    <r>
      <rPr>
        <sz val="12"/>
        <rFont val="Arial"/>
        <family val="2"/>
      </rPr>
      <t>(falls ein Energieausweis erforderlich ist)</t>
    </r>
  </si>
  <si>
    <t>Eingabefeld OIB RL-6</t>
  </si>
  <si>
    <t>A/V-Verhältnis</t>
  </si>
  <si>
    <t>1/m</t>
  </si>
  <si>
    <t>Brutto-Volumen</t>
  </si>
  <si>
    <t>m³</t>
  </si>
  <si>
    <r>
      <t>Heizwärmbedarf HWB</t>
    </r>
    <r>
      <rPr>
        <vertAlign val="subscript"/>
        <sz val="10"/>
        <color theme="1"/>
        <rFont val="Arial"/>
        <family val="2"/>
      </rPr>
      <t>SK</t>
    </r>
  </si>
  <si>
    <t>kWh/(m²a)</t>
  </si>
  <si>
    <r>
      <t>LEK</t>
    </r>
    <r>
      <rPr>
        <vertAlign val="subscript"/>
        <sz val="10"/>
        <color theme="1"/>
        <rFont val="Arial"/>
        <family val="2"/>
      </rPr>
      <t>T</t>
    </r>
    <r>
      <rPr>
        <sz val="10"/>
        <color theme="1"/>
        <rFont val="Arial"/>
        <family val="2"/>
      </rPr>
      <t>-Wert</t>
    </r>
  </si>
  <si>
    <t>Gebäudehüllfläche</t>
  </si>
  <si>
    <t>m²</t>
  </si>
  <si>
    <t>Summe Bauteilflächen zum Bestand</t>
  </si>
  <si>
    <r>
      <t>Transmissions-Leitwert L</t>
    </r>
    <r>
      <rPr>
        <vertAlign val="subscript"/>
        <sz val="10"/>
        <color theme="1"/>
        <rFont val="Arial"/>
        <family val="2"/>
      </rPr>
      <t xml:space="preserve">T </t>
    </r>
    <r>
      <rPr>
        <sz val="10"/>
        <color theme="1"/>
        <rFont val="Arial"/>
        <family val="2"/>
      </rPr>
      <t>inkl. Wärmebrückenzuschlag</t>
    </r>
  </si>
  <si>
    <t>W/K</t>
  </si>
  <si>
    <r>
      <t>Kühlbedarf KB</t>
    </r>
    <r>
      <rPr>
        <vertAlign val="subscript"/>
        <sz val="10"/>
        <color theme="1"/>
        <rFont val="Arial"/>
        <family val="2"/>
      </rPr>
      <t>SK</t>
    </r>
  </si>
  <si>
    <r>
      <t>Primärenergiebedarf gesamt PEB</t>
    </r>
    <r>
      <rPr>
        <vertAlign val="subscript"/>
        <sz val="10"/>
        <color theme="1"/>
        <rFont val="Arial"/>
        <family val="2"/>
      </rPr>
      <t>SK</t>
    </r>
  </si>
  <si>
    <t>Betriebsstrombedarf BSB</t>
  </si>
  <si>
    <t>Beleuchtungsenergiebedarf BelEB</t>
  </si>
  <si>
    <t>Endenergiebedarf Beleuchtung (eigene Ermittlung)</t>
  </si>
  <si>
    <r>
      <t>CO</t>
    </r>
    <r>
      <rPr>
        <vertAlign val="subscript"/>
        <sz val="10"/>
        <color theme="1"/>
        <rFont val="Arial"/>
        <family val="2"/>
      </rPr>
      <t>2;SK</t>
    </r>
    <r>
      <rPr>
        <sz val="10"/>
        <color theme="1"/>
        <rFont val="Arial"/>
        <family val="2"/>
      </rPr>
      <t xml:space="preserve"> gesamt (EAW)</t>
    </r>
  </si>
  <si>
    <r>
      <t>kg</t>
    </r>
    <r>
      <rPr>
        <vertAlign val="subscript"/>
        <sz val="10"/>
        <color theme="1"/>
        <rFont val="Arial"/>
        <family val="2"/>
      </rPr>
      <t>CO2</t>
    </r>
    <r>
      <rPr>
        <sz val="10"/>
        <color theme="1"/>
        <rFont val="Arial"/>
        <family val="2"/>
      </rPr>
      <t>/(m²a)</t>
    </r>
  </si>
  <si>
    <r>
      <t>CO2</t>
    </r>
    <r>
      <rPr>
        <vertAlign val="subscript"/>
        <sz val="10"/>
        <color theme="1"/>
        <rFont val="Arial"/>
        <family val="2"/>
      </rPr>
      <t>SK</t>
    </r>
    <r>
      <rPr>
        <sz val="10"/>
        <color theme="1"/>
        <rFont val="Arial"/>
        <family val="2"/>
      </rPr>
      <t xml:space="preserve"> gesamt (EAW)</t>
    </r>
  </si>
  <si>
    <t>kgCO2/(m²a)</t>
  </si>
  <si>
    <r>
      <t>Photovoltaik Export PV</t>
    </r>
    <r>
      <rPr>
        <vertAlign val="subscript"/>
        <sz val="10"/>
        <color theme="1"/>
        <rFont val="Arial"/>
        <family val="2"/>
      </rPr>
      <t>Export;SK</t>
    </r>
  </si>
  <si>
    <t>Ergebnisse</t>
  </si>
  <si>
    <r>
      <t>korrigierter LEK</t>
    </r>
    <r>
      <rPr>
        <vertAlign val="subscript"/>
        <sz val="10"/>
        <color theme="1"/>
        <rFont val="Arial"/>
        <family val="2"/>
      </rPr>
      <t>T</t>
    </r>
    <r>
      <rPr>
        <sz val="10"/>
        <color theme="1"/>
        <rFont val="Arial"/>
        <family val="2"/>
      </rPr>
      <t>-Wert</t>
    </r>
  </si>
  <si>
    <t>Primärenergiebedarf</t>
  </si>
  <si>
    <r>
      <t>CO</t>
    </r>
    <r>
      <rPr>
        <vertAlign val="subscript"/>
        <sz val="10"/>
        <color theme="1"/>
        <rFont val="Arial"/>
        <family val="2"/>
      </rPr>
      <t>2</t>
    </r>
  </si>
  <si>
    <t>CO2</t>
  </si>
  <si>
    <r>
      <t>HWB</t>
    </r>
    <r>
      <rPr>
        <b/>
        <vertAlign val="subscript"/>
        <sz val="10"/>
        <rFont val="Arial"/>
        <family val="2"/>
      </rPr>
      <t>SK</t>
    </r>
    <r>
      <rPr>
        <b/>
        <sz val="10"/>
        <rFont val="Arial"/>
        <family val="2"/>
      </rPr>
      <t>-Punkte</t>
    </r>
  </si>
  <si>
    <r>
      <t>LEK</t>
    </r>
    <r>
      <rPr>
        <b/>
        <vertAlign val="subscript"/>
        <sz val="10"/>
        <color theme="1"/>
        <rFont val="Arial"/>
        <family val="2"/>
      </rPr>
      <t>T</t>
    </r>
    <r>
      <rPr>
        <b/>
        <sz val="10"/>
        <color theme="1"/>
        <rFont val="Arial"/>
        <family val="2"/>
      </rPr>
      <t>-Punkte</t>
    </r>
  </si>
  <si>
    <r>
      <t>KB</t>
    </r>
    <r>
      <rPr>
        <b/>
        <vertAlign val="subscript"/>
        <sz val="10"/>
        <rFont val="Arial"/>
        <family val="2"/>
      </rPr>
      <t>SK</t>
    </r>
    <r>
      <rPr>
        <b/>
        <sz val="10"/>
        <rFont val="Arial"/>
        <family val="2"/>
      </rPr>
      <t>-Punkte</t>
    </r>
  </si>
  <si>
    <r>
      <t>PEB</t>
    </r>
    <r>
      <rPr>
        <b/>
        <vertAlign val="subscript"/>
        <sz val="10"/>
        <color theme="1"/>
        <rFont val="Arial"/>
        <family val="2"/>
      </rPr>
      <t>SK</t>
    </r>
    <r>
      <rPr>
        <b/>
        <sz val="10"/>
        <color theme="1"/>
        <rFont val="Arial"/>
        <family val="2"/>
      </rPr>
      <t>-Punkte</t>
    </r>
  </si>
  <si>
    <r>
      <t>CO</t>
    </r>
    <r>
      <rPr>
        <b/>
        <vertAlign val="subscript"/>
        <sz val="10"/>
        <color theme="1"/>
        <rFont val="Arial"/>
        <family val="2"/>
      </rPr>
      <t>2;SK</t>
    </r>
    <r>
      <rPr>
        <b/>
        <sz val="10"/>
        <color theme="1"/>
        <rFont val="Arial"/>
        <family val="2"/>
      </rPr>
      <t>-Punkte</t>
    </r>
  </si>
  <si>
    <r>
      <t>CO2</t>
    </r>
    <r>
      <rPr>
        <b/>
        <vertAlign val="subscript"/>
        <sz val="10"/>
        <color theme="1"/>
        <rFont val="Arial"/>
        <family val="2"/>
      </rPr>
      <t>SK</t>
    </r>
    <r>
      <rPr>
        <b/>
        <sz val="10"/>
        <color theme="1"/>
        <rFont val="Arial"/>
        <family val="2"/>
      </rPr>
      <t>-Punkte</t>
    </r>
  </si>
  <si>
    <t>Wert</t>
  </si>
  <si>
    <t>HWB-Grenzwerte oben</t>
  </si>
  <si>
    <t>HWB-Grenzwerte unten</t>
  </si>
  <si>
    <t>LEK-Grenzwert oben</t>
  </si>
  <si>
    <t>LEK-Grenzwert unten</t>
  </si>
  <si>
    <t>KB-Grenzwerte oben</t>
  </si>
  <si>
    <t>KB-Grenzwerte unten</t>
  </si>
  <si>
    <t>PEB-Grenzwerte oben</t>
  </si>
  <si>
    <t>PEB-Grenzwerte unten</t>
  </si>
  <si>
    <r>
      <t>CO</t>
    </r>
    <r>
      <rPr>
        <b/>
        <vertAlign val="subscript"/>
        <sz val="10"/>
        <color theme="1"/>
        <rFont val="Arial"/>
        <family val="2"/>
      </rPr>
      <t>2</t>
    </r>
    <r>
      <rPr>
        <b/>
        <sz val="10"/>
        <color theme="1"/>
        <rFont val="Arial"/>
        <family val="2"/>
      </rPr>
      <t>-Grenzwerte oben</t>
    </r>
  </si>
  <si>
    <r>
      <t>CO</t>
    </r>
    <r>
      <rPr>
        <b/>
        <vertAlign val="subscript"/>
        <sz val="10"/>
        <color theme="1"/>
        <rFont val="Arial"/>
        <family val="2"/>
      </rPr>
      <t>2</t>
    </r>
    <r>
      <rPr>
        <b/>
        <sz val="10"/>
        <color theme="1"/>
        <rFont val="Arial"/>
        <family val="2"/>
      </rPr>
      <t>-Grenzwerte unten</t>
    </r>
  </si>
  <si>
    <t>Minderbeheizte Gebäude</t>
  </si>
  <si>
    <r>
      <t>LEK</t>
    </r>
    <r>
      <rPr>
        <vertAlign val="subscript"/>
        <sz val="11"/>
        <color theme="1"/>
        <rFont val="Arial"/>
        <family val="2"/>
      </rPr>
      <t>T</t>
    </r>
  </si>
  <si>
    <t>Kühlbedarf</t>
  </si>
  <si>
    <r>
      <t>CO</t>
    </r>
    <r>
      <rPr>
        <vertAlign val="subscript"/>
        <sz val="10"/>
        <color theme="1"/>
        <rFont val="Arial"/>
        <family val="2"/>
      </rPr>
      <t>2</t>
    </r>
    <r>
      <rPr>
        <sz val="10"/>
        <color theme="1"/>
        <rFont val="Arial"/>
        <family val="2"/>
      </rPr>
      <t>-Äquivalente</t>
    </r>
  </si>
  <si>
    <r>
      <rPr>
        <b/>
        <u/>
        <sz val="12"/>
        <rFont val="Arial"/>
        <family val="2"/>
      </rPr>
      <t>Voll</t>
    </r>
    <r>
      <rPr>
        <b/>
        <sz val="12"/>
        <rFont val="Arial"/>
        <family val="2"/>
      </rPr>
      <t>konditioniert</t>
    </r>
  </si>
  <si>
    <t>Punkte (gesamt max. 75)</t>
  </si>
  <si>
    <t xml:space="preserve">Auswertung </t>
  </si>
  <si>
    <t>Bestimmung der maximal zulässigen Übertemperaturgradstunden</t>
  </si>
  <si>
    <t>Nachweis über den thermischen Komfort im Sommer</t>
  </si>
  <si>
    <t xml:space="preserve">Nutzungsstunden pro Jahr </t>
  </si>
  <si>
    <t>h/a</t>
  </si>
  <si>
    <r>
      <t xml:space="preserve">Nachweis OIB RL-6; KB* &lt; 0,4 kWh/(m³a) </t>
    </r>
    <r>
      <rPr>
        <i/>
        <u/>
        <sz val="10"/>
        <rFont val="Arial"/>
        <family val="2"/>
      </rPr>
      <t>oder</t>
    </r>
    <r>
      <rPr>
        <sz val="10"/>
        <rFont val="Arial"/>
        <family val="2"/>
      </rPr>
      <t xml:space="preserve"> Nachweis PHPP Überschreitung 26 °C &lt; 1 % (Jahresbetrachtung)</t>
    </r>
  </si>
  <si>
    <t>Übertemperaturgradstunden (maximal zulässig)</t>
  </si>
  <si>
    <t>Kh/a</t>
  </si>
  <si>
    <t>Übertemperaturgradstunden- unterschreitung um 20 %</t>
  </si>
  <si>
    <t>Dynamische Gebäudesimulation (zumindest für kritische Räume, bei aktiver Kühlung verpflichtend) bei Einhaltung der maximal zulässigen Übertemperaturgradstunden</t>
  </si>
  <si>
    <r>
      <t xml:space="preserve">Dynamische Gebäudesimulation (zumindest für kritische Räume, bei aktiver Kühlung verpflichtend) bei  Unterschreitung der maximal zulässigen Übertemperaturgradstunden um </t>
    </r>
    <r>
      <rPr>
        <b/>
        <sz val="10"/>
        <rFont val="Arial"/>
        <family val="2"/>
      </rPr>
      <t>20 % *</t>
    </r>
  </si>
  <si>
    <t>Ausführung Free-Cooling</t>
  </si>
  <si>
    <t>Zusatzpunkte bei Ausführung einer passiven Kühlung  (z.B. freie Nachtlüftung, mechanische Lüftungsanlage, adiabate Abluftbefeuchtung, Grundwasserkühlung ohne Kompressionskälte, Solekühlung ohne Kompressionskälte)</t>
  </si>
  <si>
    <t>max. 75</t>
  </si>
  <si>
    <t>* Nähere Ausführungen zu den maximal zulässigen Übertemperaturgradstunden in den Erläuterungen zum KGA 2022
  Die Bezugstemperatur beträgt für ganz Vorarlberg 25 °C
  Bei einer Nutzungszeit von 2860 h/a dürfen maximal 450 Kh/a (Übertemperaturgradstunden) vorliegen. Wird dieser Wert überschritten, ist das Kriterium nicht erfüllt.
  Eine Berechnungshilfe zur Bestimmung der maximal zulässigen Übertemperaturgradstunden befindet sich rechts auf diesem Tabellenblatt.</t>
  </si>
  <si>
    <t>Punkte (gesamt max. 50)</t>
  </si>
  <si>
    <t>Kommissionelle Bewertung</t>
  </si>
  <si>
    <t>Punkte (gesamt max. 10)</t>
  </si>
  <si>
    <t xml:space="preserve">C 2.1 Messung Raumluftqualität </t>
  </si>
  <si>
    <t>VOC</t>
  </si>
  <si>
    <t>Kl I</t>
  </si>
  <si>
    <t>&lt; 300 µg/m³</t>
  </si>
  <si>
    <t>50 Punkte</t>
  </si>
  <si>
    <t>Kl II</t>
  </si>
  <si>
    <t>300 - 500 µg/m³</t>
  </si>
  <si>
    <t>35 Punkte</t>
  </si>
  <si>
    <t>Kl III</t>
  </si>
  <si>
    <t>500 - 1.000 µg/m³</t>
  </si>
  <si>
    <t>20 Punkte</t>
  </si>
  <si>
    <t>Kl IV</t>
  </si>
  <si>
    <t xml:space="preserve"> 1.000 – 3000 µg/m³</t>
  </si>
  <si>
    <t>0 Punkte, 
Quellensuche empfohlen</t>
  </si>
  <si>
    <t>&gt; 3.000 µg/m³</t>
  </si>
  <si>
    <t>Quellensuche erforderlich</t>
  </si>
  <si>
    <t>Formaldehyd</t>
  </si>
  <si>
    <t>&lt; 0,04 ppm</t>
  </si>
  <si>
    <t>0,04 - 0,08 ppm</t>
  </si>
  <si>
    <t>10 Punkte</t>
  </si>
  <si>
    <t>0,08 - 0,1 ppm</t>
  </si>
  <si>
    <t>5 Punkte</t>
  </si>
  <si>
    <t>&gt; 0,1 ppm</t>
  </si>
  <si>
    <t>Vermeidung von PVC</t>
  </si>
  <si>
    <r>
      <rPr>
        <sz val="10"/>
        <rFont val="Arial"/>
        <family val="2"/>
      </rPr>
      <t>Kunststofffolien und Vliese jeglicher Art (Dampfbremsen, Abdichtungsbahnen, Trennschichten, Baufolien etc.)</t>
    </r>
    <r>
      <rPr>
        <sz val="10"/>
        <color indexed="8"/>
        <rFont val="Arial"/>
        <family val="2"/>
      </rPr>
      <t xml:space="preserve"> und Dichtstoffe </t>
    </r>
  </si>
  <si>
    <t>(M) 
0</t>
  </si>
  <si>
    <t xml:space="preserve">Fußbodenbeläge und deren Bestandteile (inkl. Sockelleisten), Wandbeläge (Tapeten) </t>
  </si>
  <si>
    <t>Elektroinstallationsmaterialien</t>
  </si>
  <si>
    <t xml:space="preserve">Elektroinstallationsmaterialien (Kabel, Leitungen, Rohre, Dosen etc.) </t>
  </si>
  <si>
    <t xml:space="preserve">Fenster, Sonnen- und / oder Sichtschutz am Objekt </t>
  </si>
  <si>
    <t>Fenster und Türen / Tore</t>
  </si>
  <si>
    <t>Sonnen- und / oder Sichtschutz am Objekt</t>
  </si>
  <si>
    <t>Vermeidung von Bioziden</t>
  </si>
  <si>
    <r>
      <rPr>
        <b/>
        <sz val="10"/>
        <color indexed="8"/>
        <rFont val="Arial"/>
        <family val="2"/>
      </rPr>
      <t>Fassaden aus Produkten ohne biozide Ausrüstungen</t>
    </r>
    <r>
      <rPr>
        <sz val="10"/>
        <color indexed="8"/>
        <rFont val="Arial"/>
        <family val="2"/>
      </rPr>
      <t xml:space="preserve">
Fassadenplatten, Fassadenverkleidungen, Spachtelmassen, Putze, Grundierungen, Farben u.ä.
</t>
    </r>
  </si>
  <si>
    <r>
      <rPr>
        <b/>
        <sz val="10"/>
        <color indexed="8"/>
        <rFont val="Arial"/>
        <family val="2"/>
      </rPr>
      <t>Dächer aus Produkten ohne biozide Ausrüstungen</t>
    </r>
    <r>
      <rPr>
        <sz val="10"/>
        <color indexed="8"/>
        <rFont val="Arial"/>
        <family val="2"/>
      </rPr>
      <t xml:space="preserve">
Bitumendichtungsbahnen, -pappen (z.B. Gründach) u.ä.
</t>
    </r>
  </si>
  <si>
    <t>Fenster und Außentüren ohne biozide Ausrüstungen</t>
  </si>
  <si>
    <r>
      <t>OI3(BGF</t>
    </r>
    <r>
      <rPr>
        <sz val="6"/>
        <rFont val="Arial"/>
        <family val="2"/>
      </rPr>
      <t>3</t>
    </r>
    <r>
      <rPr>
        <sz val="10"/>
        <rFont val="Arial"/>
        <family val="2"/>
      </rPr>
      <t>,BZF) nach Ecosoft 5.0 oder Eco2soft</t>
    </r>
  </si>
  <si>
    <t>Punkte Neubau</t>
  </si>
  <si>
    <r>
      <t xml:space="preserve">unkonditioniert, </t>
    </r>
    <r>
      <rPr>
        <b/>
        <u/>
        <sz val="12"/>
        <rFont val="Arial"/>
        <family val="2"/>
      </rPr>
      <t>offen</t>
    </r>
    <r>
      <rPr>
        <b/>
        <sz val="12"/>
        <rFont val="Arial"/>
        <family val="2"/>
      </rPr>
      <t xml:space="preserve"> </t>
    </r>
  </si>
  <si>
    <t>Entsorgungsindikator EI</t>
  </si>
  <si>
    <t>OI3-Wert Max.</t>
  </si>
  <si>
    <t>OI3-Wert Min.</t>
  </si>
  <si>
    <t>EI10-Wert Max.</t>
  </si>
  <si>
    <t>EI10-Wert Min.</t>
  </si>
  <si>
    <r>
      <t>Kommentierung Haustechnik-Schemata und Raumbücher (Heizung &amp; Lüftung) mit energetisch relevanten Auslegungsdaten,</t>
    </r>
    <r>
      <rPr>
        <b/>
        <sz val="10"/>
        <color rgb="FF000000"/>
        <rFont val="Arial"/>
        <family val="2"/>
      </rPr>
      <t xml:space="preserve"> i.d.R. vor der Baueingabe aber jedenfalls vor Ausschreibung der Gebäudetechnik,</t>
    </r>
    <r>
      <rPr>
        <sz val="10"/>
        <color rgb="FF000000"/>
        <rFont val="Arial"/>
        <family val="2"/>
      </rPr>
      <t xml:space="preserve"> du</t>
    </r>
    <r>
      <rPr>
        <sz val="10"/>
        <color indexed="8"/>
        <rFont val="Arial"/>
        <family val="2"/>
      </rPr>
      <t xml:space="preserve">rch externe, fachkundige Personen </t>
    </r>
    <r>
      <rPr>
        <vertAlign val="superscript"/>
        <sz val="10"/>
        <color indexed="8"/>
        <rFont val="Arial"/>
        <family val="2"/>
      </rPr>
      <t>1)</t>
    </r>
  </si>
  <si>
    <r>
      <t xml:space="preserve">Vorlage eines unterfertigten Einregulierungsprotokolls für Heizung und Lüftung (Mindestangabe: Volumenströme je Ventil und Strang inkl. Dokumentation der Einstellwerte) - </t>
    </r>
    <r>
      <rPr>
        <i/>
        <sz val="10"/>
        <color rgb="FFFF0000"/>
        <rFont val="Arial"/>
        <family val="2"/>
      </rPr>
      <t>MUSSKRITERIUM</t>
    </r>
  </si>
  <si>
    <t xml:space="preserve">Nachweis ÖNORM B 8110-3 : 2020 Einhaltung mind. Komfortklasse B für alle kritischen Räume und Glasanteil der vertikalen Fassade des Gebäudes &lt;= 35% </t>
  </si>
  <si>
    <t>Nutzung des Regenwassers zur Bewässerung der Außenanlagen</t>
  </si>
  <si>
    <t>Nutzung des Regenwassers für WC- und Urinalspülung</t>
  </si>
  <si>
    <t>Anbindung der Dachfläche der Hauptgebäude an eine Regenwasserzisterne. Dimensionierung: Bevorhaltung des Bedarfs von mind. 2 Wochen (30l pro WC / 10l pro Urinal pro Nutzungstag) oder Dimensionierung nach anschließbarer Dachfläche (40l pro m²)</t>
  </si>
  <si>
    <t>Der KGA-Prüfer bestätigt mit nachstehenden Erklärungen, dass
- die Erstelllung des Kommunalgebäudeausweises mit den erzielten Bewertungspunkten nach fachlich bestem Wissen und Gewissen durchgeführt wurde
- sofern alle für die Ausstellung erforderlichen Unterlagen korrekt  und vollständig übermittel t wurden, eine PrüferAussteller nicht in den Planungs- und Ausführungsprozess des Bauvorhabens eingebunden war und überdies hierfür keinerlei Honorare erhalten hat
- dem KGA-Prüfer bewusst ist, dass,  falls sich nachträglich herausstellt, dass die Bewertungspunkte nicht stimmen sollten, es zu einer Kürzung  des Fördersatzes und der maximal anerkennbaren Kosten für die Gemeinde kommen kann.</t>
  </si>
  <si>
    <t>Sämtliche Dichtstoffe, inkl. Nassversiegelung von Fenstern</t>
  </si>
  <si>
    <t xml:space="preserve">Vermeidung von Kupfer bzw. Kupferlegierungen und Zink bzw. Zinklegierungen im bewitterten Außenbereich </t>
  </si>
  <si>
    <t>Vermeidung von Kufer/Kupferlegierungen und Zink/ Zinklegierungen</t>
  </si>
  <si>
    <t>Vermeidung von nicht zukunftsfähigen Kältemittel</t>
  </si>
  <si>
    <t>Einsatz von bereits verwendeter Bauprodukte und Bauteile bei tragenden Elementen</t>
  </si>
  <si>
    <t>Einsatz von bereits verwendeter Bauprodukte und Bauteile bei nicht tragenden Elementen</t>
  </si>
  <si>
    <r>
      <rPr>
        <b/>
        <sz val="10"/>
        <rFont val="Arial"/>
        <family val="2"/>
      </rPr>
      <t>Fassade</t>
    </r>
    <r>
      <rPr>
        <sz val="10"/>
        <rFont val="Arial"/>
        <family val="2"/>
      </rPr>
      <t xml:space="preserve"> (bei mehr als der Hälfte der Fassadenfläche)</t>
    </r>
  </si>
  <si>
    <t>Bei Erreichbarkeit maximal 3 m über dem Fußboden oder eines Reinigungsgangs für mind. jeweils 70% der Innen- und Außenglasflächen</t>
  </si>
  <si>
    <t>Bei Erreichbarkeit über 3 m über dem Fußboden oder eines Reinigungsgangs und  mit Reinigungsstange reinigbar für mind. jeweils 70% der Innen- und Außenglasflächen</t>
  </si>
  <si>
    <t>Anbindung der Dachfläche der Hauptgebäude an eine Regenwasserzisterne. Dimensionierung: Bevorhaltung des Bedarfs von mind. 2 Wochen (40l pro m² zu bewässernde Außenfläche) oder nach anschließbarer Dachfläche (40l pro m²)</t>
  </si>
  <si>
    <t>Wasser-, Abwasser- sowie Zu- und Abluftrohre im (Projekt bis Kanalschluss)</t>
  </si>
  <si>
    <t>gering beheizt</t>
  </si>
  <si>
    <t>frostfrei</t>
  </si>
  <si>
    <t xml:space="preserve">Gering beheizt (+6°C bis 17°C)
</t>
  </si>
  <si>
    <t xml:space="preserve">frostfrei (bis 5°C beheizt)
</t>
  </si>
  <si>
    <t xml:space="preserve">Gering beheizt (+6°C bis 17 °C) </t>
  </si>
  <si>
    <r>
      <rPr>
        <b/>
        <u/>
        <sz val="12"/>
        <rFont val="Arial"/>
        <family val="2"/>
      </rPr>
      <t>gering</t>
    </r>
    <r>
      <rPr>
        <b/>
        <sz val="12"/>
        <rFont val="Arial"/>
        <family val="2"/>
      </rPr>
      <t xml:space="preserve"> beheizt (+6 °C bis 17 °C) </t>
    </r>
  </si>
  <si>
    <t>frostfrei (bis 5 °C beheizt)</t>
  </si>
  <si>
    <r>
      <t>Kommissionelle Beurteilung 
(</t>
    </r>
    <r>
      <rPr>
        <b/>
        <u/>
        <sz val="12"/>
        <rFont val="Arial"/>
        <family val="2"/>
      </rPr>
      <t>gering</t>
    </r>
    <r>
      <rPr>
        <b/>
        <sz val="12"/>
        <rFont val="Arial"/>
        <family val="2"/>
      </rPr>
      <t xml:space="preserve"> beheizter Bereich)</t>
    </r>
  </si>
  <si>
    <t>Kommissionelle Beurteilung 
(frostfreier Bereich)</t>
  </si>
  <si>
    <t>Kommissionelle Beurteilung 
(vollkonditionierter Bereich)</t>
  </si>
  <si>
    <t>Überschrift dieses Blockes bleibt und ergänzend vollkonditioniert</t>
  </si>
  <si>
    <t>Qualität der Gebäudehülle und Kompaktheit</t>
  </si>
  <si>
    <t>Mit HVH Nachweis oder gleichwertig (Nachweisliche Einhaltung HVH Kriterien)</t>
  </si>
  <si>
    <r>
      <t xml:space="preserve">Fenster </t>
    </r>
    <r>
      <rPr>
        <sz val="10"/>
        <rFont val="Arial"/>
        <family val="2"/>
      </rPr>
      <t>mind. 80% aus entsprechendem Holz und 100% der Fenster PVC-frei</t>
    </r>
  </si>
  <si>
    <r>
      <rPr>
        <b/>
        <sz val="10"/>
        <rFont val="Arial"/>
        <family val="2"/>
      </rPr>
      <t>Fußbodenbelag Massivholz</t>
    </r>
    <r>
      <rPr>
        <sz val="10"/>
        <rFont val="Arial"/>
        <family val="2"/>
      </rPr>
      <t xml:space="preserve"> (z.B. Massivparkett, Dielenboden; </t>
    </r>
    <r>
      <rPr>
        <sz val="10"/>
        <color theme="1"/>
        <rFont val="Arial"/>
        <family val="2"/>
      </rPr>
      <t>Mehrschichtparkett mit einer Nutzschichtstärke von mind. 6mm; mehr als die Hälfte der konditionierten Flächen (Zonen mit einer geplanten Raumtemperatur von mind. 18°C) als Vollholzkonstruktion)</t>
    </r>
  </si>
  <si>
    <t>mindestens 30 % des Betonvolumens aller Expositionsklassen werden als RC-Beton ausgeführt;
bei diesem Betonvolumen ist der Betonzuschlag mit einem Anteil von mindestens 25 Massen-% der Gesteinskörnungen aus Recyclingmaterial auszuführen; Nachweis über Kennzeichnung auf den Lieferscheinen bzw. mittels Eignungsprüfung Formblatt 1.1 (EN 206)</t>
  </si>
  <si>
    <t>Verwendung von CO2-armem Zement als Bindemittel bei mind. 70% des technisch umsetzbaren Betonvolumens;
 Nachweis über Kennzeichnung auf den Lieferscheinen</t>
  </si>
  <si>
    <t>Gesamtvolumen [in m³]</t>
  </si>
  <si>
    <t>Baustoffe mit erheblichem Recyclinganteil [in m³]</t>
  </si>
  <si>
    <t xml:space="preserve">Recyclinganteil </t>
  </si>
  <si>
    <r>
      <t>GWP</t>
    </r>
    <r>
      <rPr>
        <vertAlign val="subscript"/>
        <sz val="10"/>
        <rFont val="Arial"/>
        <family val="2"/>
      </rPr>
      <t xml:space="preserve"> Total</t>
    </r>
    <r>
      <rPr>
        <sz val="10"/>
        <rFont val="Arial"/>
        <family val="2"/>
      </rPr>
      <t xml:space="preserve"> CO2 equ. / m² BZF</t>
    </r>
  </si>
  <si>
    <t>GWP Total Max. CO2 equ. / m² BZF</t>
  </si>
  <si>
    <t>GWP Total Min. CO2 equ. / m² BZF</t>
  </si>
  <si>
    <t>Punkte OI3</t>
  </si>
  <si>
    <t xml:space="preserve">Punkte GWP </t>
  </si>
  <si>
    <t xml:space="preserve">Summe Punkte Gesamt </t>
  </si>
  <si>
    <t>M</t>
  </si>
  <si>
    <t>Ökologische Kennwerte des Gebäudes (OI3 BG3, GWP Total)</t>
  </si>
  <si>
    <t>Konzept für den Betrieb und Wartung der technischen Anlagen mit Regel- und Messkonzept (Lastenheft) inkl. Einschulung der relevanten Personen (Bestätigung). Das Konzept soll hierbei die schalttechnischen Zusammenhänge ebenso beschreiben wie die getroffenen Einstellungen. Die eingeschulte Person sollte in regelmäßigen Abständen die Verbrauchszähler ablesen (evt. einsehbar über die GLT) und dokumentieren, damit etwaige Überverbräuche festgestellt und bei Bedarf die Einstellungen hin zu einem niedrigen Energieverbrauch optimiert werden können.</t>
  </si>
  <si>
    <t>Kommunalgebäudeausweis Vorarlberg - reduziert beheizte Gebäude
Version 2026-1</t>
  </si>
  <si>
    <r>
      <rPr>
        <b/>
        <sz val="22"/>
        <rFont val="Arial"/>
        <family val="2"/>
      </rPr>
      <t>Kommunalgebäudeausweis Vorarlberg - reduziert beheizte Gebäude</t>
    </r>
    <r>
      <rPr>
        <b/>
        <sz val="10"/>
        <rFont val="Arial"/>
        <family val="2"/>
      </rPr>
      <t xml:space="preserve"> </t>
    </r>
    <r>
      <rPr>
        <b/>
        <sz val="11"/>
        <rFont val="Arial"/>
        <family val="2"/>
      </rPr>
      <t>- Version 2026-1</t>
    </r>
    <r>
      <rPr>
        <b/>
        <sz val="10"/>
        <rFont val="Arial"/>
        <family val="2"/>
      </rPr>
      <t xml:space="preserve">
</t>
    </r>
    <r>
      <rPr>
        <b/>
        <sz val="12"/>
        <rFont val="Arial"/>
        <family val="2"/>
      </rPr>
      <t>gemäß den Bestimmungen der Richtlinie der Vorarlberger Landesregierung zur Gewährung von Bedarfszuweisungsmittel, 2026</t>
    </r>
  </si>
  <si>
    <t>A.3 Produktmanagement - Einsatz regionaler, schadstoff- und emissionsarmer Bauprodukte und Konstruktionen</t>
  </si>
  <si>
    <t>A.3.1 Bauökologie in Planung, Ausschreibung und Ausführung</t>
  </si>
  <si>
    <t>Punkte (gesamt max. 90)</t>
  </si>
  <si>
    <t>Dokumentation zur ökologischen Bauteiloptimierung im Rahmen der Planungsphase vorhanden</t>
  </si>
  <si>
    <t>2. Verankerung ökologischer Kriterien in Ausschreibungen und Aufträgen</t>
  </si>
  <si>
    <r>
      <t xml:space="preserve">Ökobaukriterien </t>
    </r>
    <r>
      <rPr>
        <b/>
        <u/>
        <sz val="10"/>
        <rFont val="Arial"/>
        <family val="2"/>
      </rPr>
      <t>mit</t>
    </r>
    <r>
      <rPr>
        <b/>
        <sz val="10"/>
        <rFont val="Arial"/>
        <family val="2"/>
      </rPr>
      <t xml:space="preserve"> PD</t>
    </r>
  </si>
  <si>
    <r>
      <t xml:space="preserve">NaBe </t>
    </r>
    <r>
      <rPr>
        <b/>
        <u/>
        <sz val="10"/>
        <rFont val="Arial"/>
        <family val="2"/>
      </rPr>
      <t>mit</t>
    </r>
    <r>
      <rPr>
        <b/>
        <sz val="10"/>
        <rFont val="Arial"/>
        <family val="2"/>
      </rPr>
      <t xml:space="preserve"> PD</t>
    </r>
  </si>
  <si>
    <r>
      <t xml:space="preserve">Nabe </t>
    </r>
    <r>
      <rPr>
        <b/>
        <u/>
        <sz val="10"/>
        <rFont val="Arial"/>
        <family val="2"/>
      </rPr>
      <t>ohne</t>
    </r>
    <r>
      <rPr>
        <b/>
        <sz val="10"/>
        <rFont val="Arial"/>
        <family val="2"/>
      </rPr>
      <t xml:space="preserve"> PD</t>
    </r>
  </si>
  <si>
    <t>3. Ökologische Bauaufsicht</t>
  </si>
  <si>
    <t>Benennung einer ökologischen Fachbauaufsicht durch Bauherrn (max. 3 Gewerke nicht erfasst)</t>
  </si>
  <si>
    <t>A.3.2 Vermeidung kritischer Soffe und Förderung regionaler Holzwirtschaft</t>
  </si>
  <si>
    <t>Punkte (gesamt max. 65)</t>
  </si>
  <si>
    <t>Folien, Fußbodenbeläge und Wandbeläge</t>
  </si>
  <si>
    <r>
      <rPr>
        <sz val="10"/>
        <rFont val="Arial"/>
        <family val="2"/>
      </rPr>
      <t xml:space="preserve">Einsatz von Kältemittel mit reduzierten Klimafolgen bei Wärmepumpen                        GWP &lt; 150 </t>
    </r>
    <r>
      <rPr>
        <b/>
        <sz val="10"/>
        <rFont val="Arial"/>
        <family val="2"/>
      </rPr>
      <t xml:space="preserve">
 </t>
    </r>
  </si>
  <si>
    <t>Vermeidung von Bodenbeschichtungen auf PU/Epoxidharzbasis</t>
  </si>
  <si>
    <t>Durchgängige Vermeidung von PU-/Epoxidharzbeschichtungen im gesamten Gebäude</t>
  </si>
  <si>
    <t>Regonale Holzwirtschaft</t>
  </si>
  <si>
    <t xml:space="preserve">Beim Einsatz von nachweislich regionalem Holz (Nachweis über „Holz-von-Hier“ Zertifikate oder nachweislich Einhaltung aller „Holz-von-Hier“ Kriterien) werden folgende Punkte vergeben. 
</t>
  </si>
  <si>
    <t>Nebenrechnung</t>
  </si>
  <si>
    <t>A.3.3 Zirkuläres Bauen</t>
  </si>
  <si>
    <t>Punkte (gesamt max. 30)</t>
  </si>
  <si>
    <t>Einsatz bereits verwendeter Bauprodukte</t>
  </si>
  <si>
    <t>Gesamtpunkteanzahl Kriterium A.3</t>
  </si>
  <si>
    <t>Max. 175</t>
  </si>
  <si>
    <t>Nachhaltigkeitsanforderungen in Planung, Prozess und Umsetzung</t>
  </si>
  <si>
    <t>Festlegung von Nachhaltigkeitsstandards in Planunsgvergaben</t>
  </si>
  <si>
    <t>A.</t>
  </si>
  <si>
    <r>
      <t>Vereinfachte Berechnung Wirtschaftlichkeit (inkl. CO</t>
    </r>
    <r>
      <rPr>
        <b/>
        <vertAlign val="subscript"/>
        <sz val="10"/>
        <rFont val="Arial"/>
        <family val="2"/>
      </rPr>
      <t>2</t>
    </r>
    <r>
      <rPr>
        <b/>
        <sz val="10"/>
        <rFont val="Arial"/>
        <family val="2"/>
      </rPr>
      <t>-Folgekosten)</t>
    </r>
  </si>
  <si>
    <t>Produktmanagement</t>
  </si>
  <si>
    <t>Naturnahes Bauen und Klimafolgenanpassung</t>
  </si>
  <si>
    <t>A.4 Naturnahes Bauen und Klimawandelanpassung</t>
  </si>
  <si>
    <t>Nebenrechnung Grün- und Freiflächenfaktor</t>
  </si>
  <si>
    <t>A.4.1 Fachberatung</t>
  </si>
  <si>
    <t>Fachberatung für eine naturnahe und naturverträgliche Gebäude- und Außengestaltung durch eine nicht mit der Freiraumplanung beauftragten Person</t>
  </si>
  <si>
    <t>Grundsätzliche Angaben</t>
  </si>
  <si>
    <t>A.4.2 Biodiversität</t>
  </si>
  <si>
    <t>Pflanzung oder Erhalt von mind. 2 heimischen (mind. 50 % der gesetzten Bäume) bzw. europäischen (max. 50 % der gesetzten Bäume) Bäumen. Keine invasiven Neophyten und keine außereuropäische Art.</t>
  </si>
  <si>
    <t>Pflanzung oder Erhalt von drei verschiedenen heimischen Sträuchern in ihrer Wildform (keine züchterische Form, keine Sorte, kein Formschnitt)</t>
  </si>
  <si>
    <t>Artenreiche Wiese, mehrjährige Blühfläche ≥ 25 % der Außenfläche, Einzelfläche ≥ 10 m²</t>
  </si>
  <si>
    <t>Elementform</t>
  </si>
  <si>
    <t>Flächenfaktor</t>
  </si>
  <si>
    <t>Artenreiche Wiese, mehrjährige Blühfläche ≥ 10 % der Außenfläche, Einzelfläche ≥ 10 m²</t>
  </si>
  <si>
    <t>Erschließungsflächen, Plätze und versiegelte Flächen</t>
  </si>
  <si>
    <t>Naturnah gestaltete Sickerbecken, Mulden oder Gerinne zur temporären Wasserrückhaltung. 10 % der versiegelten und teilversiegelten Außenfläche wird oberirdisch zurückgehalten oder versickert</t>
  </si>
  <si>
    <t>Naturnahe Dachbegrünung</t>
  </si>
  <si>
    <t>Substrat aus lokalen Materialien mind. 10 Vol%</t>
  </si>
  <si>
    <t>Freiflächen mit Vegetation</t>
  </si>
  <si>
    <t>Sonderstrukturen auf 3 % der Begrünungsflächen</t>
  </si>
  <si>
    <t>Über natürlich gewachsenem Boden</t>
  </si>
  <si>
    <t>Kombination der Dachbegrünung mit einer PV-Anlage nach ÖNORM L 1131 Beiblatt Solargründächer</t>
  </si>
  <si>
    <t>Einsatz reflexionsarmer Verglasung (&lt; 15 %) für alle Glasflächen &lt; 3 m² und 
fachgerechte Bewertung der Gefahrenbereiche durch eine Fachperson; bei hohem Risiko ggf. Einsatz von Vogelschutzglas (Klasse A)</t>
  </si>
  <si>
    <t>Insektenfreundliche Lichtgestaltung (Licht nur nach unten, max. 3000 K)</t>
  </si>
  <si>
    <t>Auf unterbauten Flächen &gt; 150 cm Schüttungshöhe</t>
  </si>
  <si>
    <t>A.4.3 Klimawandelanpassung</t>
  </si>
  <si>
    <t>Bepunktung nach untenstehenden Werten</t>
  </si>
  <si>
    <t>Grün und Freiflächenfaktor (GFF)</t>
  </si>
  <si>
    <t>Das Ausmaß von Begrünungen wird mit dem sogenannten Grün- und Freiflächenfaktor (GFF) gewichtet, 
der Grünflächen und Begrünungen den versiegelten Flächen eines Bauprojekts gegenüberstellt.</t>
  </si>
  <si>
    <t>GFF = 0,4</t>
  </si>
  <si>
    <t>Auf unterbauten Flächen &lt; 150 cm Schüttungshöhe</t>
  </si>
  <si>
    <t>GFF = 0,5</t>
  </si>
  <si>
    <t>GFF = 0,6</t>
  </si>
  <si>
    <t>GFF = 0,7</t>
  </si>
  <si>
    <t>Wasserflächen</t>
  </si>
  <si>
    <t>GFF = 0,8</t>
  </si>
  <si>
    <t>Künstliches Becken/technisches Wasser</t>
  </si>
  <si>
    <t>Naturnaher Teich/Wasserfläche</t>
  </si>
  <si>
    <t>Fassadenbegrünung</t>
  </si>
  <si>
    <t>Bodengebundene Fassadenbegrünung</t>
  </si>
  <si>
    <t>Troggebundene Fassadenbegrünung</t>
  </si>
  <si>
    <t>Fassadengebundene modulare bzw. vollflächige Vegetationsträger</t>
  </si>
  <si>
    <t>Dachflächen und Dachbegrünung</t>
  </si>
  <si>
    <t xml:space="preserve">Extensivbegrünung, im Durchschnitt 10-14 cm Vegetationstragschicht oder PV-Grün Kombination mit 8 cm Vegetationstragschicht 
(ÖNORM L1131 / ÖNORM L1131 Beiblatt Solargründächer / FLL Dachbegrünungsrichtlinien) </t>
  </si>
  <si>
    <t>Bonuselemente</t>
  </si>
  <si>
    <t>Begrünte Pergolen</t>
  </si>
  <si>
    <t>Freistehende grüne Wände</t>
  </si>
  <si>
    <t>Verholzende Vegetation</t>
  </si>
  <si>
    <t>Anzahl Bäume</t>
  </si>
  <si>
    <t>Ergebnis Naturhaushaltswirksame Fläche</t>
  </si>
  <si>
    <t>NHW</t>
  </si>
  <si>
    <t>Ergebnis Grün und Freiflähenindikator (NHW/Grundstücksfläche)</t>
  </si>
  <si>
    <t>GFF</t>
  </si>
  <si>
    <t>A.6 Haustechnik-Konzept</t>
  </si>
  <si>
    <t>Punkte 
(gesamt max. 40)</t>
  </si>
  <si>
    <t>Maßnahme zur Sicherstellung komfortabler Raumfeuchte</t>
  </si>
  <si>
    <t>Feuchteabhängiges Absenken der Volumenströme ohne aktive Befeuchtung im Winter
Feuchterückgewinnung ohne aktive Befeuchtung im Winter</t>
  </si>
  <si>
    <t>3
10</t>
  </si>
  <si>
    <t>Differenzierte Verbrauchserfassung</t>
  </si>
  <si>
    <r>
      <t xml:space="preserve">Ein Vergleich der tatsächlichen Verbräuche mit den vorausberechneten Bedarfswerten als Grundlage für eine eventuelle Nachjustierung muss möglich sein (Ausgefülltes Formblatt) - </t>
    </r>
    <r>
      <rPr>
        <i/>
        <sz val="10"/>
        <color rgb="FFFF0000"/>
        <rFont val="Arial"/>
        <family val="2"/>
      </rPr>
      <t>MUSSKRITERIUM</t>
    </r>
  </si>
  <si>
    <r>
      <t xml:space="preserve">1) der rollierende Austausch mit externen, fachkundigen Personen zählen in diesem Zusammenhang Fachpersonen (Ingenieure der Gebäudetechnik, Versorgungstechnik, Heizungs- und Lüftungstechnik, Energieingenieurwesen (Schwerpunkt Gebäude), Technischen Gebäudeausrüstung </t>
    </r>
    <r>
      <rPr>
        <i/>
        <u/>
        <sz val="10"/>
        <rFont val="Arial"/>
        <family val="2"/>
      </rPr>
      <t>oder</t>
    </r>
    <r>
      <rPr>
        <sz val="10"/>
        <rFont val="Arial"/>
        <family val="2"/>
      </rPr>
      <t xml:space="preserve"> HTL-Absolventen mit Schwerpunkt Technische Gebäudeausrüstung </t>
    </r>
    <r>
      <rPr>
        <i/>
        <u/>
        <sz val="10"/>
        <rFont val="Arial"/>
        <family val="2"/>
      </rPr>
      <t>oder</t>
    </r>
    <r>
      <rPr>
        <sz val="10"/>
        <rFont val="Arial"/>
        <family val="2"/>
      </rPr>
      <t xml:space="preserve"> Meister der Heizungs- und Lüftungstechnik </t>
    </r>
    <r>
      <rPr>
        <i/>
        <u/>
        <sz val="10"/>
        <rFont val="Arial"/>
        <family val="2"/>
      </rPr>
      <t>oder</t>
    </r>
    <r>
      <rPr>
        <sz val="10"/>
        <rFont val="Arial"/>
        <family val="2"/>
      </rPr>
      <t xml:space="preserve"> Mitarbeiter in HSL-Planungsbüros mit mind. 5 Jahren Berufserfahrung. Diese externe Personen dürfen hierbei nicht im selben Planungsbüro arbeiten, welches mit der Anlagenplanung beauftragt ist.</t>
    </r>
  </si>
  <si>
    <t>A.7 Reinigungs- und Instandhaltungsfreundlichkeit</t>
  </si>
  <si>
    <r>
      <t>Zugänglichkeit und Reinigbarkeit von innen- und Außenfenstern</t>
    </r>
    <r>
      <rPr>
        <sz val="8"/>
        <rFont val="Arial"/>
        <family val="2"/>
      </rPr>
      <t> </t>
    </r>
  </si>
  <si>
    <t>Bodenbündig eingebaute Gitterroste, Kunststoff- oder Naturfasermatten vor oder hinter den Eingangszonen</t>
  </si>
  <si>
    <t>Schutz der Wandbereiche durch Sockelleisten, austauschbare Wandvertäfelungen oder wischbare Wandfarbe, um Verschmutzung und Beschädigung bei der Reinigung zu vermeiden. Sichtbeton gilt als wischbar.</t>
  </si>
  <si>
    <t>A.8 Regenwassernutzung</t>
  </si>
  <si>
    <t>Nebenrechnung:</t>
  </si>
  <si>
    <t>Auswahl Dimensionierungsart</t>
  </si>
  <si>
    <t>Bewässerung/WCs</t>
  </si>
  <si>
    <t>Nutzungstage Gebäude pro Woche</t>
  </si>
  <si>
    <t>Dachfläche</t>
  </si>
  <si>
    <t>Anzahl WC's</t>
  </si>
  <si>
    <t>Anzahl Urinale</t>
  </si>
  <si>
    <t>Zu bewässernde Außenanlagen (m²)</t>
  </si>
  <si>
    <t>Anschließbare Dachfläche (m²)</t>
  </si>
  <si>
    <t>Dimensionierung der Zisterne (l)</t>
  </si>
  <si>
    <t>B3 Netzdienliche Stromspeicherung</t>
  </si>
  <si>
    <t>Netztdienliche Sromspeicherung</t>
  </si>
  <si>
    <t>1,0 - 3,0 kWh-Speicher-Nennkapazität pro installierter kWp</t>
  </si>
  <si>
    <t>Ab 3,0 kWh-Speicher-Nennkapazität pro installierter kWp</t>
  </si>
  <si>
    <t>Energieverbrauch im Betrieb</t>
  </si>
  <si>
    <t>2.</t>
  </si>
  <si>
    <t>B.</t>
  </si>
  <si>
    <t>Netzdienliche Stromspeicherung</t>
  </si>
  <si>
    <t>C.1 Thermischer Komfort im Sommer</t>
  </si>
  <si>
    <t>C.</t>
  </si>
  <si>
    <t>Ökologische Gebäudebilanzierung</t>
  </si>
  <si>
    <t>D.</t>
  </si>
  <si>
    <r>
      <t>D.1 Ökologische Kennwerte des Gebäudes (OI3</t>
    </r>
    <r>
      <rPr>
        <b/>
        <sz val="9"/>
        <rFont val="Arial"/>
        <family val="2"/>
      </rPr>
      <t xml:space="preserve">BG3, BZF und </t>
    </r>
    <r>
      <rPr>
        <b/>
        <sz val="11"/>
        <rFont val="Arial"/>
        <family val="2"/>
      </rPr>
      <t>GWP-total</t>
    </r>
    <r>
      <rPr>
        <b/>
        <sz val="12"/>
        <rFont val="Arial"/>
        <family val="2"/>
      </rPr>
      <t xml:space="preserve">) </t>
    </r>
  </si>
  <si>
    <t>D.2 Entsorgungsindikator (EI) des Gebäudes</t>
  </si>
  <si>
    <t>Test SZ Mittelberg</t>
  </si>
  <si>
    <t>Beheizung Rampe</t>
  </si>
  <si>
    <t>max. 70</t>
  </si>
  <si>
    <t>max. 45</t>
  </si>
  <si>
    <t>max. 15</t>
  </si>
  <si>
    <t xml:space="preserve">Für alle relevanten Gewerke, die mit ökologischen Kriterien ausgeschrieben wurden, wurden die eingesetzten Bauprodukte in PD-Listen deklariert. Alle in den PD-Listen angeführten Bauprodukte wurden auf Konformität zu den laut Ausschreibung einzuhaltenden ökologischen Kriterien überprüft (Konformitätsprüfung). Für jedes relevante Gewerk, für welches keine PD-Liste vorliegt, werden 10 Punkte abgezogen.
Wenn keine Produktdeklaration mit Konformitätsprüfung beauftragt wird, dann ist die Einhaltung der ökologischen Kriterien durch die beauftragten ausführenden Unternehmen nach der Bauausführung schriftlich zu bestätigen.
Die Qualitätssicherung der Produktdeklaration und Konformitätsprüfung inkludiert wiederholte Baustellenbegehungen durch den Konformitätsprüfer während der Bauphase.
</t>
  </si>
  <si>
    <r>
      <rPr>
        <b/>
        <sz val="10"/>
        <rFont val="Arial"/>
        <family val="2"/>
      </rPr>
      <t>Konstruktiver Holzbau</t>
    </r>
    <r>
      <rPr>
        <sz val="10"/>
        <rFont val="Arial"/>
        <family val="2"/>
      </rPr>
      <t xml:space="preserve"> - </t>
    </r>
    <r>
      <rPr>
        <sz val="8"/>
        <rFont val="Arial"/>
        <family val="2"/>
      </rPr>
      <t>Bepunktung nur bei Holz- bzw. Mischbauten (50 Vol.-% der konstruktiven Bauteile aus Holz)</t>
    </r>
  </si>
  <si>
    <t>Gehölzinsel oder Wildhecke (&gt; 3 m breit und &gt; 5 m lang) mit natürlichem Unterwuchs und heimischen Arten in ihrer Wildform (keine züchterische Form, keine Sorte, kein Formschnitt)</t>
  </si>
  <si>
    <t>Umsetzung von Trockensteinmauern (Länge &gt; 3 m), Natursteinhaufen (mind. 1 m³) oder Totholzelementen (&gt; 3 m² Grundfläche)</t>
  </si>
  <si>
    <r>
      <t>Fläche (m</t>
    </r>
    <r>
      <rPr>
        <b/>
        <vertAlign val="superscript"/>
        <sz val="11"/>
        <color theme="1"/>
        <rFont val="Arial"/>
        <family val="2"/>
      </rPr>
      <t>2</t>
    </r>
    <r>
      <rPr>
        <b/>
        <sz val="11"/>
        <color theme="1"/>
        <rFont val="Arial"/>
        <family val="2"/>
      </rPr>
      <t>)</t>
    </r>
  </si>
  <si>
    <t>Basisfläche</t>
  </si>
  <si>
    <t xml:space="preserve">Wasserdurchlässige mit einem Abflussbeiwert bis zu 0,3
</t>
  </si>
  <si>
    <t>Teilversiegelte Oberflächen mit einem Abflussbeiwert 0,3 - 0,6</t>
  </si>
  <si>
    <t>Versiegelte Oberflächen ab einem Abflussbeiwert &gt; 0,6</t>
  </si>
  <si>
    <t>Rasen-, Wiesen- und Staudenflächen (unverholzte Bereiche)</t>
  </si>
  <si>
    <t>Strauch- und Heckenflächen</t>
  </si>
  <si>
    <t>Sickerfläche, Rückhaltebecken, Raingarden oder ähnliches</t>
  </si>
  <si>
    <t>Extensivbegrünung, im Durchschnitt 15-24 cm Vegetationstragschicht (ÖNORM L1131 / FLL Dachbegrünungsrichtlinien)</t>
  </si>
  <si>
    <t>Intensivbegrünung &gt;25 cm Vegetationstragschicht 
(ÖNORM L1131 / FLL Dachbegrünungsrichtlinien)</t>
  </si>
  <si>
    <r>
      <t xml:space="preserve">Baum groß (~ 15 m Kronendurchmesser Zielwert), je Baum: </t>
    </r>
    <r>
      <rPr>
        <b/>
        <sz val="11"/>
        <color theme="1"/>
        <rFont val="Arial"/>
        <family val="2"/>
      </rPr>
      <t>75 m²</t>
    </r>
  </si>
  <si>
    <r>
      <t xml:space="preserve">Baum mittel (~ 10 m Kronendurchmesser Zielwert), je Baum: </t>
    </r>
    <r>
      <rPr>
        <b/>
        <sz val="11"/>
        <color theme="1"/>
        <rFont val="Arial"/>
        <family val="2"/>
      </rPr>
      <t>20 m²</t>
    </r>
  </si>
  <si>
    <r>
      <t xml:space="preserve">Baum klein (~ 5 m Kronendurchmesser Zielwert), je Baum: </t>
    </r>
    <r>
      <rPr>
        <b/>
        <sz val="11"/>
        <color theme="1"/>
        <rFont val="Arial"/>
        <family val="2"/>
      </rPr>
      <t>5 m²</t>
    </r>
  </si>
  <si>
    <t>erfüllt</t>
  </si>
  <si>
    <t>nicht erfüllt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</si>
</sst>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quot;€&quot;;[Red]\-#,##0.00\ &quot;€&quot;"/>
    <numFmt numFmtId="165" formatCode="0&quot;.&quot;"/>
    <numFmt numFmtId="166" formatCode="&quot;max. &quot;0"/>
    <numFmt numFmtId="167" formatCode="_-* #,##0_-;\-* #,##0_-;_-* &quot;-&quot;??_-;_-@_-"/>
    <numFmt numFmtId="168" formatCode="0.0"/>
  </numFmts>
  <fonts count="10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12"/>
      <name val="Arial"/>
      <family val="2"/>
    </font>
    <font>
      <sz val="8"/>
      <name val="Arial"/>
      <family val="2"/>
    </font>
    <font>
      <b/>
      <sz val="10"/>
      <name val="Arial"/>
      <family val="2"/>
    </font>
    <font>
      <b/>
      <sz val="12"/>
      <name val="Arial"/>
      <family val="2"/>
    </font>
    <font>
      <sz val="10"/>
      <color indexed="10"/>
      <name val="Arial"/>
      <family val="2"/>
    </font>
    <font>
      <b/>
      <sz val="12"/>
      <name val="L Frutiger Light"/>
    </font>
    <font>
      <i/>
      <sz val="10"/>
      <name val="Arial"/>
      <family val="2"/>
    </font>
    <font>
      <b/>
      <sz val="18"/>
      <name val="Arial"/>
      <family val="2"/>
    </font>
    <font>
      <b/>
      <sz val="22"/>
      <name val="Arial"/>
      <family val="2"/>
    </font>
    <font>
      <sz val="10"/>
      <color indexed="8"/>
      <name val="Arial"/>
      <family val="2"/>
    </font>
    <font>
      <sz val="10"/>
      <color indexed="63"/>
      <name val="Arial"/>
      <family val="2"/>
    </font>
    <font>
      <b/>
      <sz val="12"/>
      <color indexed="10"/>
      <name val="Arial"/>
      <family val="2"/>
    </font>
    <font>
      <b/>
      <sz val="10"/>
      <color indexed="8"/>
      <name val="Arial"/>
      <family val="2"/>
    </font>
    <font>
      <b/>
      <vertAlign val="subscript"/>
      <sz val="10"/>
      <name val="Arial"/>
      <family val="2"/>
    </font>
    <font>
      <b/>
      <sz val="12"/>
      <color indexed="8"/>
      <name val="Arial"/>
      <family val="2"/>
    </font>
    <font>
      <sz val="11"/>
      <color indexed="6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u/>
      <sz val="10"/>
      <color indexed="12"/>
      <name val="Arial"/>
      <family val="2"/>
    </font>
    <font>
      <sz val="8"/>
      <name val="Arial"/>
      <family val="2"/>
    </font>
    <font>
      <b/>
      <sz val="16"/>
      <name val="Arial"/>
      <family val="2"/>
    </font>
    <font>
      <sz val="16"/>
      <name val="Arial"/>
      <family val="2"/>
    </font>
    <font>
      <b/>
      <sz val="16"/>
      <name val="L Frutiger Light"/>
    </font>
    <font>
      <b/>
      <sz val="10"/>
      <color indexed="63"/>
      <name val="Arial"/>
      <family val="2"/>
    </font>
    <font>
      <b/>
      <sz val="11"/>
      <name val="Arial"/>
      <family val="2"/>
    </font>
    <font>
      <b/>
      <sz val="11"/>
      <color indexed="8"/>
      <name val="Arial"/>
      <family val="2"/>
    </font>
    <font>
      <sz val="11"/>
      <name val="Arial"/>
      <family val="2"/>
    </font>
    <font>
      <sz val="6"/>
      <name val="Arial"/>
      <family val="2"/>
    </font>
    <font>
      <b/>
      <sz val="9"/>
      <name val="Arial"/>
      <family val="2"/>
    </font>
    <font>
      <b/>
      <sz val="14"/>
      <name val="Arial"/>
      <family val="2"/>
    </font>
    <font>
      <b/>
      <vertAlign val="subscript"/>
      <sz val="10"/>
      <color indexed="8"/>
      <name val="Arial"/>
      <family val="2"/>
    </font>
    <font>
      <sz val="10"/>
      <name val="Arial"/>
      <family val="2"/>
    </font>
    <font>
      <b/>
      <sz val="11"/>
      <color rgb="FF3F3F3F"/>
      <name val="Calibri"/>
      <family val="2"/>
      <scheme val="minor"/>
    </font>
    <font>
      <sz val="11"/>
      <color theme="1"/>
      <name val="Calibri"/>
      <family val="2"/>
      <scheme val="minor"/>
    </font>
    <font>
      <sz val="11"/>
      <color rgb="FF3F3F76"/>
      <name val="Calibri"/>
      <family val="2"/>
      <scheme val="minor"/>
    </font>
    <font>
      <sz val="11"/>
      <color theme="1"/>
      <name val="Arial"/>
      <family val="2"/>
    </font>
    <font>
      <sz val="10"/>
      <color theme="1"/>
      <name val="Arial"/>
      <family val="2"/>
    </font>
    <font>
      <sz val="12"/>
      <color theme="1"/>
      <name val="Arial"/>
      <family val="2"/>
    </font>
    <font>
      <sz val="10"/>
      <color rgb="FF3F3F76"/>
      <name val="Arial"/>
      <family val="2"/>
    </font>
    <font>
      <b/>
      <sz val="10"/>
      <color theme="1"/>
      <name val="Arial"/>
      <family val="2"/>
    </font>
    <font>
      <b/>
      <sz val="11"/>
      <color theme="1"/>
      <name val="Calibri"/>
      <family val="2"/>
      <scheme val="minor"/>
    </font>
    <font>
      <b/>
      <sz val="12"/>
      <color theme="1"/>
      <name val="Arial"/>
      <family val="2"/>
    </font>
    <font>
      <b/>
      <sz val="11"/>
      <color theme="1"/>
      <name val="Arial"/>
      <family val="2"/>
    </font>
    <font>
      <sz val="14"/>
      <name val="Arial"/>
      <family val="2"/>
    </font>
    <font>
      <b/>
      <u/>
      <sz val="11"/>
      <name val="Arial"/>
      <family val="2"/>
    </font>
    <font>
      <b/>
      <u/>
      <sz val="14"/>
      <name val="Arial"/>
      <family val="2"/>
    </font>
    <font>
      <b/>
      <sz val="14"/>
      <color theme="1"/>
      <name val="Calibri"/>
      <family val="2"/>
      <scheme val="minor"/>
    </font>
    <font>
      <b/>
      <u/>
      <sz val="12"/>
      <name val="Arial"/>
      <family val="2"/>
    </font>
    <font>
      <vertAlign val="subscript"/>
      <sz val="10"/>
      <color theme="1"/>
      <name val="Arial"/>
      <family val="2"/>
    </font>
    <font>
      <sz val="22"/>
      <name val="Arial"/>
      <family val="2"/>
    </font>
    <font>
      <b/>
      <vertAlign val="subscript"/>
      <sz val="12"/>
      <name val="Arial"/>
      <family val="2"/>
    </font>
    <font>
      <b/>
      <vertAlign val="subscript"/>
      <sz val="10"/>
      <color theme="1"/>
      <name val="Arial"/>
      <family val="2"/>
    </font>
    <font>
      <sz val="12"/>
      <color theme="0"/>
      <name val="Arial"/>
      <family val="2"/>
    </font>
    <font>
      <vertAlign val="subscript"/>
      <sz val="11"/>
      <color theme="1"/>
      <name val="Arial"/>
      <family val="2"/>
    </font>
    <font>
      <b/>
      <i/>
      <sz val="16"/>
      <name val="Arial"/>
      <family val="2"/>
    </font>
    <font>
      <b/>
      <sz val="11"/>
      <color rgb="FFFF0000"/>
      <name val="Arial"/>
      <family val="2"/>
    </font>
    <font>
      <sz val="11"/>
      <color indexed="62"/>
      <name val="Arial"/>
      <family val="2"/>
    </font>
    <font>
      <i/>
      <u/>
      <sz val="10"/>
      <name val="Arial"/>
      <family val="2"/>
    </font>
    <font>
      <vertAlign val="superscript"/>
      <sz val="10"/>
      <color indexed="8"/>
      <name val="Arial"/>
      <family val="2"/>
    </font>
    <font>
      <b/>
      <sz val="10"/>
      <color rgb="FF000000"/>
      <name val="Arial"/>
      <family val="2"/>
    </font>
    <font>
      <b/>
      <sz val="12"/>
      <color indexed="64"/>
      <name val="Arial"/>
      <family val="2"/>
    </font>
    <font>
      <sz val="8"/>
      <color theme="1"/>
      <name val="Arial"/>
      <family val="2"/>
    </font>
    <font>
      <sz val="10"/>
      <color rgb="FF000000"/>
      <name val="Arial"/>
      <family val="2"/>
    </font>
    <font>
      <sz val="10"/>
      <color rgb="FFFF0000"/>
      <name val="Arial"/>
      <family val="2"/>
    </font>
    <font>
      <sz val="11"/>
      <color rgb="FFFF0000"/>
      <name val="Arial"/>
      <family val="2"/>
    </font>
    <font>
      <b/>
      <sz val="16"/>
      <color theme="1"/>
      <name val="Arial"/>
      <family val="2"/>
    </font>
    <font>
      <i/>
      <sz val="10"/>
      <color rgb="FFFF0000"/>
      <name val="Arial"/>
      <family val="2"/>
    </font>
    <font>
      <b/>
      <sz val="14"/>
      <color theme="1"/>
      <name val="Arial"/>
      <family val="2"/>
    </font>
    <font>
      <vertAlign val="subscript"/>
      <sz val="10"/>
      <name val="Arial"/>
      <family val="2"/>
    </font>
    <font>
      <sz val="12"/>
      <color rgb="FFFF0000"/>
      <name val="Arial"/>
      <family val="2"/>
    </font>
    <font>
      <b/>
      <u/>
      <sz val="10"/>
      <name val="Arial"/>
      <family val="2"/>
    </font>
    <font>
      <sz val="11"/>
      <name val="Calibri"/>
      <family val="2"/>
    </font>
    <font>
      <b/>
      <sz val="10"/>
      <color theme="1"/>
      <name val="Calibri"/>
      <family val="2"/>
      <scheme val="minor"/>
    </font>
    <font>
      <sz val="10"/>
      <color theme="1"/>
      <name val="Calibri"/>
      <family val="2"/>
      <scheme val="minor"/>
    </font>
    <font>
      <sz val="12"/>
      <color indexed="8"/>
      <name val="Arial"/>
      <family val="2"/>
    </font>
    <font>
      <b/>
      <vertAlign val="superscript"/>
      <sz val="11"/>
      <color theme="1"/>
      <name val="Arial"/>
      <family val="2"/>
    </font>
  </fonts>
  <fills count="46">
    <fill>
      <patternFill patternType="none"/>
    </fill>
    <fill>
      <patternFill patternType="gray125"/>
    </fill>
    <fill>
      <patternFill patternType="solid">
        <fgColor indexed="4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55"/>
      </patternFill>
    </fill>
    <fill>
      <patternFill patternType="solid">
        <fgColor indexed="55"/>
        <bgColor indexed="64"/>
      </patternFill>
    </fill>
    <fill>
      <patternFill patternType="solid">
        <fgColor rgb="FFF2F2F2"/>
      </patternFill>
    </fill>
    <fill>
      <patternFill patternType="solid">
        <fgColor rgb="FFFFCC99"/>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249977111117893"/>
        <bgColor indexed="64"/>
      </patternFill>
    </fill>
    <fill>
      <patternFill patternType="solid">
        <fgColor rgb="FF538ED5"/>
        <bgColor indexed="64"/>
      </patternFill>
    </fill>
    <fill>
      <patternFill patternType="solid">
        <fgColor rgb="FFC4D79B"/>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969696"/>
        <bgColor indexed="64"/>
      </patternFill>
    </fill>
    <fill>
      <patternFill patternType="solid">
        <fgColor theme="6" tint="0.59999389629810485"/>
        <bgColor indexed="64"/>
      </patternFill>
    </fill>
    <fill>
      <patternFill patternType="solid">
        <fgColor indexed="47"/>
        <bgColor indexed="47"/>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39997558519241921"/>
        <bgColor indexed="47"/>
      </patternFill>
    </fill>
    <fill>
      <patternFill patternType="solid">
        <fgColor theme="6" tint="0.79998168889431442"/>
        <bgColor indexed="47"/>
      </patternFill>
    </fill>
    <fill>
      <patternFill patternType="solid">
        <fgColor rgb="FF969696"/>
        <bgColor indexed="47"/>
      </patternFill>
    </fill>
    <fill>
      <patternFill patternType="solid">
        <fgColor theme="9" tint="0.79998168889431442"/>
        <bgColor indexed="64"/>
      </patternFill>
    </fill>
  </fills>
  <borders count="12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diagonalUp="1">
      <left style="thin">
        <color indexed="64"/>
      </left>
      <right style="medium">
        <color indexed="64"/>
      </right>
      <top/>
      <bottom/>
      <diagonal style="thin">
        <color indexed="64"/>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auto="1"/>
      </left>
      <right/>
      <top/>
      <bottom style="medium">
        <color auto="1"/>
      </bottom>
      <diagonal/>
    </border>
    <border>
      <left/>
      <right style="hair">
        <color indexed="64"/>
      </right>
      <top style="medium">
        <color indexed="64"/>
      </top>
      <bottom/>
      <diagonal/>
    </border>
    <border>
      <left/>
      <right style="hair">
        <color indexed="64"/>
      </right>
      <top style="medium">
        <color indexed="64"/>
      </top>
      <bottom style="medium">
        <color indexed="64"/>
      </bottom>
      <diagonal/>
    </border>
    <border>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thin">
        <color indexed="64"/>
      </bottom>
      <diagonal style="thin">
        <color indexed="64"/>
      </diagonal>
    </border>
    <border>
      <left/>
      <right/>
      <top/>
      <bottom style="medium">
        <color indexed="30"/>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theme="1"/>
      </right>
      <top/>
      <bottom style="medium">
        <color indexed="64"/>
      </bottom>
      <diagonal/>
    </border>
    <border>
      <left style="thin">
        <color theme="1"/>
      </left>
      <right/>
      <top/>
      <bottom style="medium">
        <color indexed="64"/>
      </bottom>
      <diagonal/>
    </border>
    <border>
      <left style="thin">
        <color indexed="64"/>
      </left>
      <right/>
      <top style="medium">
        <color indexed="64"/>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s>
  <cellStyleXfs count="1155">
    <xf numFmtId="0" fontId="0" fillId="0" borderId="0"/>
    <xf numFmtId="0" fontId="12" fillId="2" borderId="0" applyNumberFormat="0" applyBorder="0" applyAlignment="0" applyProtection="0"/>
    <xf numFmtId="0" fontId="11" fillId="2"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2"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36" fillId="20" borderId="1" applyNumberFormat="0" applyAlignment="0" applyProtection="0"/>
    <xf numFmtId="0" fontId="58" fillId="24" borderId="73" applyNumberFormat="0" applyAlignment="0" applyProtection="0"/>
    <xf numFmtId="0" fontId="36" fillId="20" borderId="1" applyNumberFormat="0" applyAlignment="0" applyProtection="0"/>
    <xf numFmtId="0" fontId="37" fillId="20" borderId="2" applyNumberFormat="0" applyAlignment="0" applyProtection="0"/>
    <xf numFmtId="0" fontId="37" fillId="20" borderId="2" applyNumberFormat="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29" fillId="7" borderId="2" applyNumberFormat="0" applyAlignment="0" applyProtection="0"/>
    <xf numFmtId="0" fontId="60" fillId="25" borderId="74" applyNumberFormat="0" applyAlignment="0" applyProtection="0"/>
    <xf numFmtId="0" fontId="29" fillId="7" borderId="2" applyNumberFormat="0" applyAlignment="0" applyProtection="0"/>
    <xf numFmtId="0" fontId="29" fillId="7" borderId="2" applyNumberFormat="0" applyAlignment="0" applyProtection="0"/>
    <xf numFmtId="0" fontId="60" fillId="25" borderId="74" applyNumberFormat="0" applyAlignment="0" applyProtection="0"/>
    <xf numFmtId="0" fontId="60" fillId="25" borderId="74" applyNumberFormat="0" applyAlignment="0" applyProtection="0"/>
    <xf numFmtId="0" fontId="60" fillId="25" borderId="74" applyNumberFormat="0" applyAlignment="0" applyProtection="0"/>
    <xf numFmtId="0" fontId="60" fillId="25" borderId="74" applyNumberFormat="0" applyAlignment="0" applyProtection="0"/>
    <xf numFmtId="0" fontId="60" fillId="25" borderId="74" applyNumberFormat="0" applyAlignment="0" applyProtection="0"/>
    <xf numFmtId="0" fontId="60" fillId="25" borderId="74" applyNumberFormat="0" applyAlignment="0" applyProtection="0"/>
    <xf numFmtId="0" fontId="60" fillId="25" borderId="74" applyNumberFormat="0" applyAlignment="0" applyProtection="0"/>
    <xf numFmtId="0" fontId="42" fillId="0" borderId="3" applyNumberFormat="0" applyFill="0" applyAlignment="0" applyProtection="0"/>
    <xf numFmtId="0" fontId="42" fillId="0" borderId="3"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4" fillId="4" borderId="0" applyNumberFormat="0" applyBorder="0" applyAlignment="0" applyProtection="0"/>
    <xf numFmtId="0" fontId="34" fillId="4" borderId="0" applyNumberFormat="0" applyBorder="0" applyAlignment="0" applyProtection="0"/>
    <xf numFmtId="0" fontId="44" fillId="0" borderId="0" applyNumberFormat="0" applyFill="0" applyBorder="0" applyAlignment="0" applyProtection="0">
      <alignment vertical="top"/>
      <protection locked="0"/>
    </xf>
    <xf numFmtId="43" fontId="5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13" fillId="0" borderId="0" applyFont="0" applyFill="0" applyBorder="0" applyAlignment="0" applyProtection="0"/>
    <xf numFmtId="0" fontId="13" fillId="21" borderId="4" applyNumberFormat="0" applyFont="0" applyAlignment="0" applyProtection="0"/>
    <xf numFmtId="0" fontId="13" fillId="21" borderId="4" applyNumberFormat="0" applyFont="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13" fillId="0" borderId="0" applyFont="0" applyFill="0" applyBorder="0" applyAlignment="0" applyProtection="0"/>
    <xf numFmtId="0" fontId="35" fillId="2" borderId="0" applyNumberFormat="0" applyBorder="0" applyAlignment="0" applyProtection="0"/>
    <xf numFmtId="0" fontId="35" fillId="2" borderId="0" applyNumberFormat="0" applyBorder="0" applyAlignment="0" applyProtection="0"/>
    <xf numFmtId="0" fontId="1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0" fillId="0" borderId="0" applyNumberFormat="0" applyFill="0" applyBorder="0" applyAlignment="0" applyProtection="0"/>
    <xf numFmtId="0" fontId="31" fillId="0" borderId="5"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0" fillId="0" borderId="0" applyNumberFormat="0" applyFill="0" applyBorder="0" applyAlignment="0" applyProtection="0"/>
    <xf numFmtId="0" fontId="38" fillId="0" borderId="8" applyNumberFormat="0" applyFill="0" applyAlignment="0" applyProtection="0"/>
    <xf numFmtId="0" fontId="38" fillId="0" borderId="8"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39" fillId="22" borderId="9" applyNumberFormat="0" applyAlignment="0" applyProtection="0"/>
    <xf numFmtId="0" fontId="39" fillId="22" borderId="9" applyNumberFormat="0" applyAlignment="0" applyProtection="0"/>
    <xf numFmtId="0" fontId="10" fillId="0" borderId="0"/>
    <xf numFmtId="0" fontId="11" fillId="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13" fillId="0" borderId="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36" fillId="20" borderId="1" applyNumberFormat="0" applyAlignment="0" applyProtection="0"/>
    <xf numFmtId="0" fontId="37" fillId="20"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9" fillId="7" borderId="2" applyNumberFormat="0" applyAlignment="0" applyProtection="0"/>
    <xf numFmtId="0" fontId="42" fillId="0" borderId="3" applyNumberFormat="0" applyFill="0" applyAlignment="0" applyProtection="0"/>
    <xf numFmtId="0" fontId="41" fillId="0" borderId="0" applyNumberFormat="0" applyFill="0" applyBorder="0" applyAlignment="0" applyProtection="0"/>
    <xf numFmtId="0" fontId="34" fillId="4" borderId="0" applyNumberFormat="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3" fillId="21" borderId="4"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5" fillId="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applyNumberFormat="0" applyFill="0" applyBorder="0" applyAlignment="0" applyProtection="0"/>
    <xf numFmtId="0" fontId="31" fillId="0" borderId="5"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0" applyNumberFormat="0" applyFill="0" applyBorder="0" applyAlignment="0" applyProtection="0"/>
    <xf numFmtId="0" fontId="38" fillId="0" borderId="8" applyNumberFormat="0" applyFill="0" applyAlignment="0" applyProtection="0"/>
    <xf numFmtId="0" fontId="40" fillId="0" borderId="0" applyNumberFormat="0" applyFill="0" applyBorder="0" applyAlignment="0" applyProtection="0"/>
    <xf numFmtId="0" fontId="39" fillId="22" borderId="9"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3" fillId="0" borderId="107" applyNumberFormat="0" applyFill="0" applyAlignment="0" applyProtection="0"/>
    <xf numFmtId="0" fontId="33" fillId="0" borderId="107" applyNumberFormat="0" applyFill="0" applyAlignment="0" applyProtection="0"/>
    <xf numFmtId="0" fontId="62" fillId="0" borderId="0"/>
    <xf numFmtId="0" fontId="29" fillId="38" borderId="2" applyNumberFormat="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3" fillId="0" borderId="0"/>
    <xf numFmtId="0" fontId="1" fillId="0" borderId="0"/>
  </cellStyleXfs>
  <cellXfs count="1031">
    <xf numFmtId="0" fontId="0" fillId="0" borderId="0" xfId="0"/>
    <xf numFmtId="0" fontId="13" fillId="0" borderId="46" xfId="0" applyFont="1" applyBorder="1" applyAlignment="1" applyProtection="1">
      <alignment vertical="center"/>
      <protection locked="0"/>
    </xf>
    <xf numFmtId="0" fontId="47" fillId="0" borderId="46" xfId="0" applyFont="1" applyBorder="1" applyAlignment="1" applyProtection="1">
      <alignment vertical="center"/>
      <protection locked="0"/>
    </xf>
    <xf numFmtId="0" fontId="14" fillId="0" borderId="46" xfId="0" applyFont="1" applyBorder="1" applyAlignment="1" applyProtection="1">
      <alignment vertical="center"/>
      <protection locked="0"/>
    </xf>
    <xf numFmtId="0" fontId="0" fillId="0" borderId="46" xfId="0" applyBorder="1" applyAlignment="1" applyProtection="1">
      <alignment vertical="center"/>
      <protection locked="0"/>
    </xf>
    <xf numFmtId="0" fontId="24" fillId="0" borderId="46" xfId="0" applyFont="1" applyBorder="1" applyAlignment="1" applyProtection="1">
      <alignment vertical="center"/>
      <protection locked="0"/>
    </xf>
    <xf numFmtId="0" fontId="47" fillId="0" borderId="46" xfId="0" applyFont="1" applyBorder="1" applyAlignment="1" applyProtection="1">
      <alignment horizontal="center" vertical="center"/>
      <protection locked="0"/>
    </xf>
    <xf numFmtId="0" fontId="13" fillId="0" borderId="46" xfId="0" applyFont="1" applyBorder="1" applyAlignment="1" applyProtection="1">
      <alignment vertical="center" wrapText="1"/>
      <protection locked="0"/>
    </xf>
    <xf numFmtId="0" fontId="13" fillId="0" borderId="0" xfId="0" applyFont="1" applyAlignment="1">
      <alignment vertical="center"/>
    </xf>
    <xf numFmtId="0" fontId="47" fillId="0" borderId="0" xfId="0" applyFont="1" applyAlignment="1" applyProtection="1">
      <alignment horizontal="center" vertical="center"/>
      <protection locked="0"/>
    </xf>
    <xf numFmtId="0" fontId="13" fillId="0" borderId="0" xfId="0" applyFont="1" applyAlignment="1" applyProtection="1">
      <alignment vertical="center" wrapText="1"/>
      <protection locked="0"/>
    </xf>
    <xf numFmtId="0" fontId="13" fillId="0" borderId="0" xfId="0" applyFont="1" applyAlignment="1" applyProtection="1">
      <alignment vertical="center"/>
      <protection locked="0"/>
    </xf>
    <xf numFmtId="0" fontId="47" fillId="0" borderId="0" xfId="0" applyFont="1" applyAlignment="1" applyProtection="1">
      <alignment vertical="center"/>
      <protection locked="0"/>
    </xf>
    <xf numFmtId="0" fontId="14" fillId="0" borderId="0" xfId="0" applyFont="1" applyAlignment="1" applyProtection="1">
      <alignment vertical="center"/>
      <protection locked="0"/>
    </xf>
    <xf numFmtId="0" fontId="0" fillId="0" borderId="0" xfId="0" applyAlignment="1" applyProtection="1">
      <alignment vertical="center"/>
      <protection locked="0"/>
    </xf>
    <xf numFmtId="0" fontId="24" fillId="0" borderId="0" xfId="0" applyFont="1" applyAlignment="1" applyProtection="1">
      <alignment vertical="center"/>
      <protection locked="0"/>
    </xf>
    <xf numFmtId="0" fontId="0" fillId="0" borderId="0" xfId="0" applyAlignment="1">
      <alignment vertical="center"/>
    </xf>
    <xf numFmtId="0" fontId="13" fillId="0" borderId="53" xfId="0" applyFont="1" applyBorder="1" applyAlignment="1" applyProtection="1">
      <alignment vertical="center" wrapText="1"/>
      <protection locked="0"/>
    </xf>
    <xf numFmtId="0" fontId="13" fillId="0" borderId="53" xfId="0" applyFont="1" applyBorder="1" applyAlignment="1" applyProtection="1">
      <alignment vertical="center"/>
      <protection locked="0"/>
    </xf>
    <xf numFmtId="0" fontId="47" fillId="0" borderId="53" xfId="0" applyFont="1" applyBorder="1" applyAlignment="1" applyProtection="1">
      <alignment vertical="center"/>
      <protection locked="0"/>
    </xf>
    <xf numFmtId="0" fontId="14" fillId="0" borderId="53" xfId="0" applyFont="1" applyBorder="1" applyAlignment="1" applyProtection="1">
      <alignment vertical="center"/>
      <protection locked="0"/>
    </xf>
    <xf numFmtId="0" fontId="0" fillId="0" borderId="53" xfId="0" applyBorder="1" applyAlignment="1" applyProtection="1">
      <alignment vertical="center"/>
      <protection locked="0"/>
    </xf>
    <xf numFmtId="0" fontId="24" fillId="0" borderId="53" xfId="0" applyFont="1" applyBorder="1" applyAlignment="1" applyProtection="1">
      <alignment vertical="center"/>
      <protection locked="0"/>
    </xf>
    <xf numFmtId="0" fontId="0" fillId="0" borderId="0" xfId="0" applyAlignment="1" applyProtection="1">
      <alignment horizontal="center" vertical="center"/>
      <protection locked="0"/>
    </xf>
    <xf numFmtId="165" fontId="0" fillId="0" borderId="0" xfId="0" applyNumberFormat="1" applyAlignment="1" applyProtection="1">
      <alignment horizontal="center" vertical="center"/>
      <protection locked="0"/>
    </xf>
    <xf numFmtId="0" fontId="0" fillId="0" borderId="0" xfId="0" applyAlignment="1" applyProtection="1">
      <alignment vertical="center" wrapText="1"/>
      <protection locked="0"/>
    </xf>
    <xf numFmtId="14" fontId="0" fillId="0" borderId="0" xfId="0" applyNumberFormat="1" applyAlignment="1" applyProtection="1">
      <alignment textRotation="90" wrapText="1"/>
      <protection locked="0"/>
    </xf>
    <xf numFmtId="0" fontId="0" fillId="0" borderId="0" xfId="0" applyAlignment="1" applyProtection="1">
      <alignment horizontal="left" vertical="center"/>
      <protection locked="0"/>
    </xf>
    <xf numFmtId="0" fontId="46" fillId="0" borderId="39" xfId="0" applyFont="1" applyBorder="1" applyAlignment="1" applyProtection="1">
      <alignment vertical="center" wrapText="1"/>
      <protection locked="0"/>
    </xf>
    <xf numFmtId="14" fontId="46" fillId="0" borderId="54" xfId="0" applyNumberFormat="1" applyFont="1" applyBorder="1" applyAlignment="1" applyProtection="1">
      <alignment vertical="center"/>
      <protection locked="0"/>
    </xf>
    <xf numFmtId="0" fontId="46" fillId="0" borderId="0" xfId="0" applyFont="1" applyAlignment="1" applyProtection="1">
      <alignment vertical="center"/>
      <protection locked="0"/>
    </xf>
    <xf numFmtId="0" fontId="0" fillId="0" borderId="55" xfId="0" applyBorder="1" applyAlignment="1" applyProtection="1">
      <alignment vertical="center" wrapText="1"/>
      <protection locked="0"/>
    </xf>
    <xf numFmtId="0" fontId="16" fillId="0" borderId="10" xfId="0" applyFont="1" applyBorder="1" applyAlignment="1" applyProtection="1">
      <alignment horizontal="center" vertical="center" wrapText="1"/>
      <protection locked="0"/>
    </xf>
    <xf numFmtId="0" fontId="16" fillId="0" borderId="57" xfId="0" applyFont="1" applyBorder="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165" fontId="13" fillId="0" borderId="14" xfId="0" applyNumberFormat="1" applyFont="1" applyBorder="1" applyAlignment="1" applyProtection="1">
      <alignment horizontal="center" vertical="center"/>
      <protection locked="0"/>
    </xf>
    <xf numFmtId="1" fontId="46" fillId="30" borderId="58" xfId="107" applyNumberFormat="1" applyFont="1" applyFill="1" applyBorder="1" applyAlignment="1" applyProtection="1">
      <alignment horizontal="center" vertical="center"/>
      <protection locked="0"/>
    </xf>
    <xf numFmtId="1" fontId="46" fillId="30" borderId="59" xfId="107" applyNumberFormat="1" applyFont="1" applyFill="1" applyBorder="1" applyAlignment="1" applyProtection="1">
      <alignment horizontal="center" vertical="center"/>
      <protection locked="0"/>
    </xf>
    <xf numFmtId="1" fontId="17" fillId="26" borderId="44" xfId="0" applyNumberFormat="1" applyFont="1" applyFill="1" applyBorder="1" applyAlignment="1" applyProtection="1">
      <alignment horizontal="center" vertical="center" wrapText="1"/>
      <protection locked="0"/>
    </xf>
    <xf numFmtId="0" fontId="13" fillId="0" borderId="14" xfId="0" applyFont="1" applyBorder="1" applyAlignment="1" applyProtection="1">
      <alignment vertical="center" wrapText="1"/>
      <protection locked="0"/>
    </xf>
    <xf numFmtId="1" fontId="19" fillId="26" borderId="44" xfId="0" applyNumberFormat="1" applyFont="1"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7" fillId="0" borderId="0" xfId="0" applyFont="1" applyAlignment="1" applyProtection="1">
      <alignment vertical="center" wrapText="1"/>
      <protection locked="0"/>
    </xf>
    <xf numFmtId="0" fontId="47" fillId="0" borderId="14" xfId="0" applyFont="1" applyBorder="1" applyAlignment="1" applyProtection="1">
      <alignment vertical="center" wrapText="1"/>
      <protection locked="0"/>
    </xf>
    <xf numFmtId="1" fontId="48" fillId="31" borderId="59" xfId="0" applyNumberFormat="1" applyFont="1" applyFill="1" applyBorder="1" applyAlignment="1" applyProtection="1">
      <alignment horizontal="center" vertical="center" wrapText="1"/>
      <protection locked="0"/>
    </xf>
    <xf numFmtId="0" fontId="0" fillId="0" borderId="14" xfId="0" applyBorder="1" applyAlignment="1" applyProtection="1">
      <alignment vertical="center" wrapText="1"/>
      <protection locked="0"/>
    </xf>
    <xf numFmtId="0" fontId="24" fillId="0" borderId="0" xfId="0" applyFont="1" applyAlignment="1" applyProtection="1">
      <alignment vertical="center" wrapText="1"/>
      <protection locked="0"/>
    </xf>
    <xf numFmtId="0" fontId="24" fillId="0" borderId="14" xfId="0" applyFont="1" applyBorder="1" applyAlignment="1" applyProtection="1">
      <alignment vertical="center" wrapText="1"/>
      <protection locked="0"/>
    </xf>
    <xf numFmtId="1" fontId="48" fillId="32" borderId="59" xfId="0" applyNumberFormat="1" applyFont="1" applyFill="1" applyBorder="1" applyAlignment="1" applyProtection="1">
      <alignment horizontal="center" vertical="center" wrapText="1"/>
      <protection locked="0"/>
    </xf>
    <xf numFmtId="1" fontId="48" fillId="23" borderId="59" xfId="0" applyNumberFormat="1" applyFont="1" applyFill="1" applyBorder="1" applyAlignment="1" applyProtection="1">
      <alignment horizontal="center" vertical="center" wrapText="1"/>
      <protection locked="0"/>
    </xf>
    <xf numFmtId="1" fontId="19" fillId="0" borderId="0" xfId="0" applyNumberFormat="1" applyFont="1" applyAlignment="1" applyProtection="1">
      <alignment horizontal="center" vertical="center" wrapText="1"/>
      <protection locked="0"/>
    </xf>
    <xf numFmtId="1" fontId="19" fillId="0" borderId="14" xfId="0" applyNumberFormat="1" applyFont="1" applyBorder="1" applyAlignment="1" applyProtection="1">
      <alignment horizontal="center" vertical="center" wrapText="1"/>
      <protection locked="0"/>
    </xf>
    <xf numFmtId="0" fontId="17" fillId="27" borderId="45" xfId="0" applyFont="1" applyFill="1" applyBorder="1" applyAlignment="1" applyProtection="1">
      <alignment horizontal="center" vertical="center" wrapText="1"/>
      <protection locked="0"/>
    </xf>
    <xf numFmtId="3" fontId="17" fillId="0" borderId="12" xfId="0" applyNumberFormat="1" applyFont="1" applyBorder="1" applyAlignment="1" applyProtection="1">
      <alignment horizontal="center" vertical="center"/>
      <protection locked="0"/>
    </xf>
    <xf numFmtId="0" fontId="0" fillId="0" borderId="21" xfId="0" applyBorder="1" applyAlignment="1" applyProtection="1">
      <alignment vertical="center"/>
      <protection locked="0"/>
    </xf>
    <xf numFmtId="0" fontId="25" fillId="0" borderId="0" xfId="0" applyFont="1" applyAlignment="1" applyProtection="1">
      <alignment vertical="center" wrapText="1"/>
      <protection locked="0"/>
    </xf>
    <xf numFmtId="0" fontId="13" fillId="0" borderId="0" xfId="0" applyFont="1" applyAlignment="1" applyProtection="1">
      <alignment horizontal="center" vertical="center"/>
      <protection locked="0"/>
    </xf>
    <xf numFmtId="0" fontId="0" fillId="0" borderId="0" xfId="0" applyAlignment="1">
      <alignment horizontal="center" vertical="center"/>
    </xf>
    <xf numFmtId="165" fontId="0" fillId="0" borderId="0" xfId="0" applyNumberFormat="1" applyAlignment="1">
      <alignment horizontal="center" vertical="center"/>
    </xf>
    <xf numFmtId="0" fontId="0" fillId="0" borderId="0" xfId="0" applyAlignment="1">
      <alignment vertical="center" wrapText="1"/>
    </xf>
    <xf numFmtId="0" fontId="21" fillId="0" borderId="0" xfId="0" applyFont="1" applyAlignment="1">
      <alignment horizontal="center" vertical="center"/>
    </xf>
    <xf numFmtId="0" fontId="16" fillId="0" borderId="62" xfId="0" applyFont="1" applyBorder="1" applyAlignment="1">
      <alignment horizontal="center" vertical="center" wrapText="1"/>
    </xf>
    <xf numFmtId="0" fontId="47" fillId="0" borderId="0" xfId="0" applyFont="1" applyAlignment="1">
      <alignment horizontal="center" vertical="center"/>
    </xf>
    <xf numFmtId="0" fontId="47" fillId="0" borderId="0" xfId="0" applyFont="1" applyAlignment="1">
      <alignment horizontal="center" vertical="center" wrapText="1"/>
    </xf>
    <xf numFmtId="0" fontId="16" fillId="0" borderId="17" xfId="0" applyFont="1" applyBorder="1" applyAlignment="1">
      <alignment horizontal="center" vertical="center"/>
    </xf>
    <xf numFmtId="0" fontId="16" fillId="0" borderId="10" xfId="0" applyFont="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47" fillId="0" borderId="0" xfId="0" applyFont="1" applyAlignment="1">
      <alignment vertical="center"/>
    </xf>
    <xf numFmtId="0" fontId="46" fillId="31" borderId="64" xfId="0" applyFont="1" applyFill="1" applyBorder="1" applyAlignment="1">
      <alignment horizontal="center" vertical="center"/>
    </xf>
    <xf numFmtId="0" fontId="47"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0" fontId="16" fillId="0" borderId="10" xfId="0" applyFont="1" applyBorder="1" applyAlignment="1">
      <alignment vertical="center" wrapText="1"/>
    </xf>
    <xf numFmtId="0" fontId="16" fillId="0" borderId="10" xfId="0" applyFont="1" applyBorder="1" applyAlignment="1">
      <alignment horizontal="center" vertical="center" wrapText="1"/>
    </xf>
    <xf numFmtId="0" fontId="26" fillId="0" borderId="10" xfId="0" applyFont="1" applyBorder="1" applyAlignment="1">
      <alignment vertical="center" wrapText="1"/>
    </xf>
    <xf numFmtId="0" fontId="24" fillId="0" borderId="0" xfId="0" applyFont="1" applyAlignment="1">
      <alignment vertical="center"/>
    </xf>
    <xf numFmtId="165" fontId="49" fillId="0" borderId="10" xfId="0" applyNumberFormat="1" applyFont="1" applyBorder="1" applyAlignment="1">
      <alignment horizontal="center" vertical="center"/>
    </xf>
    <xf numFmtId="0" fontId="24" fillId="0" borderId="0" xfId="0" applyFont="1" applyAlignment="1">
      <alignment vertical="center" wrapText="1"/>
    </xf>
    <xf numFmtId="165" fontId="16" fillId="0" borderId="10" xfId="0" applyNumberFormat="1" applyFont="1" applyBorder="1" applyAlignment="1">
      <alignment horizontal="center" vertical="center"/>
    </xf>
    <xf numFmtId="0" fontId="20" fillId="0" borderId="0" xfId="0" applyFont="1" applyAlignment="1">
      <alignment horizontal="center" vertical="center" wrapText="1"/>
    </xf>
    <xf numFmtId="0" fontId="46" fillId="32" borderId="64" xfId="0" applyFont="1" applyFill="1" applyBorder="1" applyAlignment="1">
      <alignment horizontal="center" vertical="center"/>
    </xf>
    <xf numFmtId="165" fontId="46" fillId="32" borderId="65" xfId="0" applyNumberFormat="1" applyFont="1" applyFill="1" applyBorder="1" applyAlignment="1">
      <alignment horizontal="center" vertical="center"/>
    </xf>
    <xf numFmtId="0" fontId="18" fillId="0" borderId="0" xfId="0" applyFont="1" applyAlignment="1">
      <alignment vertical="center" wrapText="1"/>
    </xf>
    <xf numFmtId="0" fontId="46" fillId="23" borderId="64" xfId="0" applyFont="1" applyFill="1" applyBorder="1" applyAlignment="1">
      <alignment horizontal="center" vertical="center"/>
    </xf>
    <xf numFmtId="165" fontId="46" fillId="23" borderId="65" xfId="0" applyNumberFormat="1" applyFont="1" applyFill="1" applyBorder="1" applyAlignment="1">
      <alignment horizontal="center" vertical="center"/>
    </xf>
    <xf numFmtId="0" fontId="17" fillId="27" borderId="10" xfId="0" applyFont="1" applyFill="1" applyBorder="1" applyAlignment="1">
      <alignment vertical="center" wrapText="1"/>
    </xf>
    <xf numFmtId="1" fontId="19" fillId="0" borderId="0" xfId="0" applyNumberFormat="1" applyFont="1" applyAlignment="1">
      <alignment horizontal="center" vertical="center" wrapText="1"/>
    </xf>
    <xf numFmtId="165" fontId="22" fillId="0" borderId="0" xfId="0" applyNumberFormat="1" applyFont="1" applyAlignment="1">
      <alignment horizontal="center" vertical="center"/>
    </xf>
    <xf numFmtId="0" fontId="16" fillId="0" borderId="61" xfId="0" applyFont="1" applyBorder="1" applyAlignment="1">
      <alignment horizontal="center" vertical="center" wrapText="1"/>
    </xf>
    <xf numFmtId="167" fontId="16" fillId="0" borderId="10" xfId="86" applyNumberFormat="1" applyFont="1" applyBorder="1" applyAlignment="1" applyProtection="1">
      <alignment horizontal="center" vertical="center" wrapText="1"/>
    </xf>
    <xf numFmtId="0" fontId="69" fillId="0" borderId="0" xfId="0" applyFont="1" applyAlignment="1">
      <alignment vertical="center"/>
    </xf>
    <xf numFmtId="0" fontId="55" fillId="0" borderId="0" xfId="0" applyFont="1" applyAlignment="1">
      <alignment vertical="center" wrapText="1"/>
    </xf>
    <xf numFmtId="0" fontId="69" fillId="0" borderId="0" xfId="0" applyFont="1" applyAlignment="1">
      <alignment vertical="center" wrapText="1"/>
    </xf>
    <xf numFmtId="0" fontId="69" fillId="0" borderId="0" xfId="0" applyFont="1" applyAlignment="1" applyProtection="1">
      <alignment vertical="center" wrapText="1"/>
      <protection locked="0"/>
    </xf>
    <xf numFmtId="0" fontId="55" fillId="0" borderId="0" xfId="0" applyFont="1" applyAlignment="1" applyProtection="1">
      <alignment vertical="center" wrapText="1"/>
      <protection locked="0"/>
    </xf>
    <xf numFmtId="14" fontId="55" fillId="0" borderId="0" xfId="0" applyNumberFormat="1" applyFont="1" applyAlignment="1" applyProtection="1">
      <alignment vertical="center"/>
      <protection locked="0"/>
    </xf>
    <xf numFmtId="0" fontId="55" fillId="0" borderId="0" xfId="0" applyFont="1" applyAlignment="1" applyProtection="1">
      <alignment vertical="center"/>
      <protection locked="0"/>
    </xf>
    <xf numFmtId="0" fontId="69" fillId="0" borderId="0" xfId="0" applyFont="1" applyAlignment="1" applyProtection="1">
      <alignment vertical="center"/>
      <protection locked="0"/>
    </xf>
    <xf numFmtId="165" fontId="50" fillId="0" borderId="0" xfId="0" applyNumberFormat="1" applyFont="1" applyAlignment="1">
      <alignment horizontal="center" vertical="center"/>
    </xf>
    <xf numFmtId="0" fontId="70" fillId="0" borderId="0" xfId="0" applyFont="1" applyAlignment="1">
      <alignment horizontal="left" vertical="center"/>
    </xf>
    <xf numFmtId="0" fontId="16" fillId="0" borderId="30" xfId="0" applyFont="1" applyBorder="1" applyAlignment="1">
      <alignment horizontal="center" vertical="center" wrapText="1"/>
    </xf>
    <xf numFmtId="167" fontId="16" fillId="0" borderId="37" xfId="86" applyNumberFormat="1" applyFont="1" applyBorder="1" applyAlignment="1" applyProtection="1">
      <alignment horizontal="center" vertical="center" wrapText="1"/>
    </xf>
    <xf numFmtId="1" fontId="17" fillId="26" borderId="22" xfId="0" applyNumberFormat="1" applyFont="1" applyFill="1" applyBorder="1" applyAlignment="1">
      <alignment horizontal="center" vertical="center" wrapText="1"/>
    </xf>
    <xf numFmtId="0" fontId="13" fillId="29" borderId="10" xfId="72" applyFont="1" applyFill="1" applyBorder="1" applyAlignment="1" applyProtection="1">
      <alignment horizontal="center" vertical="center"/>
      <protection locked="0"/>
    </xf>
    <xf numFmtId="1" fontId="46" fillId="30" borderId="72" xfId="107" applyNumberFormat="1" applyFont="1" applyFill="1" applyBorder="1" applyAlignment="1">
      <alignment horizontal="center" vertical="center"/>
    </xf>
    <xf numFmtId="0" fontId="46" fillId="30" borderId="71" xfId="0" applyFont="1" applyFill="1" applyBorder="1" applyAlignment="1">
      <alignment horizontal="left" vertical="center" wrapText="1"/>
    </xf>
    <xf numFmtId="0" fontId="46" fillId="31" borderId="71" xfId="0" applyFont="1" applyFill="1" applyBorder="1" applyAlignment="1">
      <alignment vertical="center" wrapText="1"/>
    </xf>
    <xf numFmtId="0" fontId="46" fillId="32" borderId="65" xfId="0" applyFont="1" applyFill="1" applyBorder="1" applyAlignment="1">
      <alignment horizontal="left" vertical="center" wrapText="1"/>
    </xf>
    <xf numFmtId="0" fontId="46" fillId="32" borderId="79" xfId="0" applyFont="1" applyFill="1" applyBorder="1" applyAlignment="1">
      <alignment horizontal="left" vertical="center" wrapText="1"/>
    </xf>
    <xf numFmtId="0" fontId="46" fillId="23" borderId="71" xfId="0" applyFont="1" applyFill="1" applyBorder="1" applyAlignment="1">
      <alignment vertical="center" wrapText="1"/>
    </xf>
    <xf numFmtId="165" fontId="16" fillId="0" borderId="37" xfId="0" applyNumberFormat="1" applyFont="1" applyBorder="1" applyAlignment="1">
      <alignment horizontal="center" vertical="center"/>
    </xf>
    <xf numFmtId="1" fontId="17" fillId="26" borderId="24" xfId="0" applyNumberFormat="1" applyFont="1" applyFill="1" applyBorder="1" applyAlignment="1">
      <alignment horizontal="center" vertical="center" wrapText="1"/>
    </xf>
    <xf numFmtId="1" fontId="17" fillId="26" borderId="14" xfId="0" applyNumberFormat="1" applyFont="1" applyFill="1" applyBorder="1" applyAlignment="1">
      <alignment horizontal="center" vertical="center" wrapText="1"/>
    </xf>
    <xf numFmtId="0" fontId="13" fillId="0" borderId="20" xfId="0" applyFont="1" applyBorder="1" applyAlignment="1">
      <alignment vertical="center" wrapText="1"/>
    </xf>
    <xf numFmtId="0" fontId="24" fillId="0" borderId="20" xfId="0" applyFont="1" applyBorder="1" applyAlignment="1">
      <alignment vertical="center" wrapText="1"/>
    </xf>
    <xf numFmtId="0" fontId="13" fillId="0" borderId="14" xfId="0" applyFont="1" applyBorder="1" applyAlignment="1">
      <alignment vertical="center" wrapText="1"/>
    </xf>
    <xf numFmtId="0" fontId="24" fillId="0" borderId="14" xfId="0" applyFont="1" applyBorder="1" applyAlignment="1">
      <alignment vertical="center" wrapText="1"/>
    </xf>
    <xf numFmtId="0" fontId="0" fillId="0" borderId="20" xfId="0" applyBorder="1" applyAlignment="1">
      <alignment vertical="center" wrapText="1"/>
    </xf>
    <xf numFmtId="0" fontId="14" fillId="0" borderId="20" xfId="0" applyFont="1" applyBorder="1" applyAlignment="1">
      <alignment vertical="center" wrapText="1"/>
    </xf>
    <xf numFmtId="0" fontId="47" fillId="0" borderId="20" xfId="0" applyFont="1" applyBorder="1" applyAlignment="1">
      <alignment vertical="center" wrapText="1"/>
    </xf>
    <xf numFmtId="0" fontId="0" fillId="0" borderId="14" xfId="0" applyBorder="1" applyAlignment="1">
      <alignment vertical="center" wrapText="1"/>
    </xf>
    <xf numFmtId="0" fontId="14" fillId="0" borderId="14" xfId="0" applyFont="1" applyBorder="1" applyAlignment="1">
      <alignment vertical="center" wrapText="1"/>
    </xf>
    <xf numFmtId="0" fontId="47" fillId="0" borderId="14" xfId="0" applyFont="1" applyBorder="1" applyAlignment="1">
      <alignment vertical="center" wrapText="1"/>
    </xf>
    <xf numFmtId="0" fontId="16" fillId="0" borderId="23" xfId="0" applyFont="1" applyBorder="1" applyAlignment="1">
      <alignment horizontal="center" vertical="center"/>
    </xf>
    <xf numFmtId="1" fontId="19" fillId="26" borderId="14" xfId="0" applyNumberFormat="1" applyFont="1" applyFill="1" applyBorder="1" applyAlignment="1" applyProtection="1">
      <alignment horizontal="center" vertical="center" wrapText="1"/>
      <protection locked="0"/>
    </xf>
    <xf numFmtId="0" fontId="26" fillId="0" borderId="86" xfId="107" applyFont="1" applyBorder="1" applyAlignment="1">
      <alignment vertical="center" wrapText="1"/>
    </xf>
    <xf numFmtId="0" fontId="26" fillId="0" borderId="10" xfId="107" applyFont="1" applyBorder="1" applyAlignment="1">
      <alignment vertical="center" wrapText="1"/>
    </xf>
    <xf numFmtId="1" fontId="17" fillId="27" borderId="22" xfId="0" applyNumberFormat="1" applyFont="1" applyFill="1" applyBorder="1" applyAlignment="1">
      <alignment horizontal="center" vertical="center" wrapText="1"/>
    </xf>
    <xf numFmtId="166" fontId="16" fillId="0" borderId="23" xfId="0" applyNumberFormat="1" applyFont="1" applyBorder="1" applyAlignment="1">
      <alignment horizontal="center" vertical="center" wrapText="1"/>
    </xf>
    <xf numFmtId="166" fontId="46" fillId="0" borderId="80" xfId="0" applyNumberFormat="1" applyFont="1" applyBorder="1" applyAlignment="1">
      <alignment horizontal="center" vertical="center"/>
    </xf>
    <xf numFmtId="3" fontId="46" fillId="0" borderId="81" xfId="0" applyNumberFormat="1" applyFont="1" applyBorder="1" applyAlignment="1">
      <alignment horizontal="center" vertical="center"/>
    </xf>
    <xf numFmtId="1" fontId="19" fillId="26" borderId="31" xfId="0" applyNumberFormat="1" applyFont="1" applyFill="1" applyBorder="1" applyAlignment="1" applyProtection="1">
      <alignment horizontal="center" vertical="center" wrapText="1"/>
      <protection locked="0"/>
    </xf>
    <xf numFmtId="1" fontId="19" fillId="26" borderId="26" xfId="0" applyNumberFormat="1" applyFont="1" applyFill="1" applyBorder="1" applyAlignment="1" applyProtection="1">
      <alignment horizontal="center" vertical="center" wrapText="1"/>
      <protection locked="0"/>
    </xf>
    <xf numFmtId="0" fontId="13" fillId="0" borderId="10" xfId="107" applyBorder="1" applyAlignment="1">
      <alignment vertical="center"/>
    </xf>
    <xf numFmtId="0" fontId="0" fillId="0" borderId="25" xfId="0" applyBorder="1" applyAlignment="1">
      <alignment vertical="center" wrapText="1"/>
    </xf>
    <xf numFmtId="166" fontId="16" fillId="0" borderId="17" xfId="0" applyNumberFormat="1" applyFont="1" applyBorder="1" applyAlignment="1">
      <alignment horizontal="center" vertical="center" wrapText="1"/>
    </xf>
    <xf numFmtId="0" fontId="46" fillId="0" borderId="60" xfId="0" applyFont="1" applyBorder="1" applyAlignment="1">
      <alignment horizontal="right" vertical="center" wrapText="1"/>
    </xf>
    <xf numFmtId="0" fontId="13" fillId="0" borderId="36" xfId="107" applyBorder="1"/>
    <xf numFmtId="0" fontId="66" fillId="0" borderId="0" xfId="145" applyFont="1" applyAlignment="1">
      <alignment horizontal="center"/>
    </xf>
    <xf numFmtId="0" fontId="14" fillId="0" borderId="0" xfId="107" applyFont="1" applyAlignment="1">
      <alignment vertical="center"/>
    </xf>
    <xf numFmtId="0" fontId="10" fillId="0" borderId="14" xfId="145" applyBorder="1"/>
    <xf numFmtId="0" fontId="72" fillId="0" borderId="0" xfId="145" applyFont="1"/>
    <xf numFmtId="0" fontId="62" fillId="0" borderId="10" xfId="108" applyFont="1" applyBorder="1" applyAlignment="1">
      <alignment vertical="center"/>
    </xf>
    <xf numFmtId="0" fontId="13" fillId="0" borderId="0" xfId="107" applyAlignment="1">
      <alignment vertical="center"/>
    </xf>
    <xf numFmtId="0" fontId="17" fillId="0" borderId="0" xfId="107" applyFont="1" applyAlignment="1">
      <alignment horizontal="right" vertical="center"/>
    </xf>
    <xf numFmtId="0" fontId="10" fillId="0" borderId="0" xfId="145" applyAlignment="1">
      <alignment horizontal="center"/>
    </xf>
    <xf numFmtId="0" fontId="10" fillId="0" borderId="77" xfId="145" applyBorder="1"/>
    <xf numFmtId="1" fontId="17" fillId="29" borderId="10" xfId="0" applyNumberFormat="1" applyFont="1" applyFill="1" applyBorder="1" applyAlignment="1">
      <alignment horizontal="center" vertical="center" wrapText="1"/>
    </xf>
    <xf numFmtId="0" fontId="65" fillId="0" borderId="10" xfId="108" applyFont="1" applyBorder="1" applyAlignment="1">
      <alignment vertical="center"/>
    </xf>
    <xf numFmtId="0" fontId="13" fillId="0" borderId="0" xfId="107" applyAlignment="1">
      <alignment horizontal="left"/>
    </xf>
    <xf numFmtId="0" fontId="10" fillId="0" borderId="0" xfId="145"/>
    <xf numFmtId="0" fontId="0" fillId="0" borderId="25" xfId="0" applyBorder="1"/>
    <xf numFmtId="0" fontId="62" fillId="0" borderId="56" xfId="108" applyFont="1" applyBorder="1" applyAlignment="1">
      <alignment vertical="center"/>
    </xf>
    <xf numFmtId="0" fontId="66" fillId="0" borderId="0" xfId="145" applyFont="1"/>
    <xf numFmtId="0" fontId="62" fillId="0" borderId="41" xfId="108" applyFont="1" applyBorder="1" applyAlignment="1">
      <alignment vertical="center"/>
    </xf>
    <xf numFmtId="1" fontId="17" fillId="29" borderId="10" xfId="0" applyNumberFormat="1" applyFont="1" applyFill="1" applyBorder="1" applyAlignment="1" applyProtection="1">
      <alignment horizontal="center" vertical="center" wrapText="1"/>
      <protection locked="0"/>
    </xf>
    <xf numFmtId="14" fontId="17" fillId="29" borderId="10" xfId="0" applyNumberFormat="1" applyFont="1" applyFill="1" applyBorder="1" applyAlignment="1" applyProtection="1">
      <alignment horizontal="center" vertical="center" wrapText="1"/>
      <protection locked="0"/>
    </xf>
    <xf numFmtId="0" fontId="13" fillId="0" borderId="46" xfId="107" applyBorder="1" applyAlignment="1">
      <alignment vertical="center" wrapText="1"/>
    </xf>
    <xf numFmtId="0" fontId="13" fillId="0" borderId="46" xfId="107" applyBorder="1" applyAlignment="1">
      <alignment horizontal="left" vertical="center" wrapText="1"/>
    </xf>
    <xf numFmtId="1" fontId="55" fillId="33" borderId="10" xfId="0" applyNumberFormat="1" applyFont="1" applyFill="1" applyBorder="1" applyAlignment="1">
      <alignment horizontal="center" vertical="center" wrapText="1"/>
    </xf>
    <xf numFmtId="0" fontId="14" fillId="0" borderId="10" xfId="0" applyFont="1" applyBorder="1"/>
    <xf numFmtId="0" fontId="55" fillId="0" borderId="10" xfId="0" applyFont="1" applyBorder="1"/>
    <xf numFmtId="0" fontId="14" fillId="0" borderId="10" xfId="0" applyFont="1" applyBorder="1" applyAlignment="1">
      <alignment wrapText="1"/>
    </xf>
    <xf numFmtId="0" fontId="13" fillId="0" borderId="0" xfId="0" applyFont="1"/>
    <xf numFmtId="0" fontId="13" fillId="0" borderId="0" xfId="107"/>
    <xf numFmtId="0" fontId="13" fillId="0" borderId="0" xfId="107" applyAlignment="1">
      <alignment vertical="center" wrapText="1"/>
    </xf>
    <xf numFmtId="0" fontId="14" fillId="0" borderId="0" xfId="107" applyFont="1" applyAlignment="1">
      <alignment horizontal="left" vertical="center" wrapText="1"/>
    </xf>
    <xf numFmtId="0" fontId="17" fillId="0" borderId="0" xfId="107" applyFont="1" applyAlignment="1">
      <alignment horizontal="left" vertical="center"/>
    </xf>
    <xf numFmtId="0" fontId="13" fillId="0" borderId="17" xfId="107" applyBorder="1" applyAlignment="1">
      <alignment vertical="center" wrapText="1"/>
    </xf>
    <xf numFmtId="0" fontId="17" fillId="0" borderId="0" xfId="107" applyFont="1" applyAlignment="1">
      <alignment horizontal="left"/>
    </xf>
    <xf numFmtId="0" fontId="16" fillId="27" borderId="15" xfId="107" applyFont="1" applyFill="1" applyBorder="1" applyAlignment="1">
      <alignment vertical="center" wrapText="1"/>
    </xf>
    <xf numFmtId="0" fontId="13" fillId="0" borderId="11" xfId="107" applyBorder="1" applyAlignment="1">
      <alignment horizontal="center" vertical="center" wrapText="1"/>
    </xf>
    <xf numFmtId="0" fontId="17" fillId="26" borderId="23" xfId="107" applyFont="1" applyFill="1" applyBorder="1" applyAlignment="1">
      <alignment vertical="center" wrapText="1"/>
    </xf>
    <xf numFmtId="0" fontId="17" fillId="26" borderId="26" xfId="107" applyFont="1" applyFill="1" applyBorder="1" applyAlignment="1">
      <alignment horizontal="center" vertical="center"/>
    </xf>
    <xf numFmtId="0" fontId="13" fillId="0" borderId="0" xfId="107" applyAlignment="1">
      <alignment horizontal="left" vertical="center" wrapText="1"/>
    </xf>
    <xf numFmtId="0" fontId="17" fillId="0" borderId="0" xfId="107" applyFont="1" applyAlignment="1">
      <alignment horizontal="center"/>
    </xf>
    <xf numFmtId="0" fontId="26" fillId="0" borderId="17" xfId="107" applyFont="1" applyBorder="1" applyAlignment="1">
      <alignment horizontal="center" vertical="center" wrapText="1"/>
    </xf>
    <xf numFmtId="0" fontId="23" fillId="0" borderId="10" xfId="107" applyFont="1" applyBorder="1" applyAlignment="1">
      <alignment horizontal="center" vertical="center" wrapText="1"/>
    </xf>
    <xf numFmtId="0" fontId="23" fillId="0" borderId="11" xfId="107" applyFont="1" applyBorder="1" applyAlignment="1">
      <alignment horizontal="center" vertical="center" wrapText="1"/>
    </xf>
    <xf numFmtId="0" fontId="13" fillId="0" borderId="17" xfId="107" applyBorder="1" applyAlignment="1">
      <alignment vertical="center"/>
    </xf>
    <xf numFmtId="0" fontId="26" fillId="0" borderId="27" xfId="107" applyFont="1" applyBorder="1" applyAlignment="1">
      <alignment horizontal="center" vertical="center" wrapText="1"/>
    </xf>
    <xf numFmtId="0" fontId="23" fillId="0" borderId="30" xfId="107" applyFont="1" applyBorder="1" applyAlignment="1">
      <alignment horizontal="center" vertical="center" wrapText="1"/>
    </xf>
    <xf numFmtId="0" fontId="23" fillId="0" borderId="28" xfId="107" applyFont="1" applyBorder="1" applyAlignment="1">
      <alignment horizontal="center" vertical="center" wrapText="1"/>
    </xf>
    <xf numFmtId="0" fontId="28" fillId="26" borderId="23" xfId="107" applyFont="1" applyFill="1" applyBorder="1" applyAlignment="1">
      <alignment horizontal="center" vertical="center" wrapText="1"/>
    </xf>
    <xf numFmtId="0" fontId="14" fillId="26" borderId="37" xfId="107" applyFont="1" applyFill="1" applyBorder="1" applyAlignment="1">
      <alignment vertical="center"/>
    </xf>
    <xf numFmtId="0" fontId="14" fillId="26" borderId="29" xfId="107" applyFont="1" applyFill="1" applyBorder="1" applyAlignment="1">
      <alignment vertical="center"/>
    </xf>
    <xf numFmtId="0" fontId="17" fillId="0" borderId="0" xfId="107" applyFont="1" applyAlignment="1">
      <alignment horizontal="center" vertical="center"/>
    </xf>
    <xf numFmtId="0" fontId="17" fillId="0" borderId="0" xfId="107" applyFont="1" applyAlignment="1">
      <alignment vertical="center"/>
    </xf>
    <xf numFmtId="0" fontId="17" fillId="0" borderId="0" xfId="107" applyFont="1" applyAlignment="1">
      <alignment vertical="center" wrapText="1"/>
    </xf>
    <xf numFmtId="0" fontId="13" fillId="0" borderId="0" xfId="107" applyAlignment="1">
      <alignment wrapText="1"/>
    </xf>
    <xf numFmtId="0" fontId="13" fillId="0" borderId="0" xfId="107" applyAlignment="1">
      <alignment horizontal="left" wrapText="1"/>
    </xf>
    <xf numFmtId="0" fontId="46" fillId="30" borderId="15" xfId="0" applyFont="1" applyFill="1" applyBorder="1" applyAlignment="1">
      <alignment horizontal="center" vertical="center"/>
    </xf>
    <xf numFmtId="165" fontId="46" fillId="30" borderId="71" xfId="0" applyNumberFormat="1" applyFont="1" applyFill="1" applyBorder="1" applyAlignment="1">
      <alignment horizontal="center" vertical="center"/>
    </xf>
    <xf numFmtId="0" fontId="46" fillId="30" borderId="71" xfId="0" applyFont="1" applyFill="1" applyBorder="1" applyAlignment="1">
      <alignment horizontal="center" vertical="center" wrapText="1"/>
    </xf>
    <xf numFmtId="0" fontId="0" fillId="0" borderId="65" xfId="0" applyBorder="1"/>
    <xf numFmtId="0" fontId="0" fillId="0" borderId="92" xfId="0" applyBorder="1"/>
    <xf numFmtId="0" fontId="13" fillId="0" borderId="43" xfId="107" applyBorder="1" applyAlignment="1" applyProtection="1">
      <alignment horizontal="left" vertical="center" wrapText="1"/>
      <protection locked="0"/>
    </xf>
    <xf numFmtId="0" fontId="13" fillId="0" borderId="47" xfId="0" applyFont="1" applyBorder="1" applyAlignment="1">
      <alignment horizontal="center" vertical="center" wrapText="1"/>
    </xf>
    <xf numFmtId="0" fontId="0" fillId="0" borderId="47" xfId="0" applyBorder="1" applyAlignment="1">
      <alignment vertical="center" wrapText="1"/>
    </xf>
    <xf numFmtId="0" fontId="13" fillId="0" borderId="31" xfId="107" applyBorder="1" applyAlignment="1" applyProtection="1">
      <alignment horizontal="left" vertical="center" wrapText="1"/>
      <protection locked="0"/>
    </xf>
    <xf numFmtId="0" fontId="50" fillId="0" borderId="22" xfId="0" applyFont="1" applyBorder="1" applyAlignment="1">
      <alignment horizontal="left" vertical="center"/>
    </xf>
    <xf numFmtId="0" fontId="50" fillId="0" borderId="11" xfId="0" applyFont="1" applyBorder="1" applyAlignment="1">
      <alignment horizontal="left" vertical="center"/>
    </xf>
    <xf numFmtId="0" fontId="13" fillId="0" borderId="17" xfId="107" applyBorder="1" applyAlignment="1" applyProtection="1">
      <alignment horizontal="left" vertical="center" wrapText="1"/>
      <protection locked="0"/>
    </xf>
    <xf numFmtId="0" fontId="55" fillId="0" borderId="100" xfId="0" applyFont="1" applyBorder="1" applyAlignment="1">
      <alignment horizontal="left" vertical="center"/>
    </xf>
    <xf numFmtId="0" fontId="0" fillId="0" borderId="14" xfId="0" applyBorder="1" applyAlignment="1">
      <alignment vertical="center"/>
    </xf>
    <xf numFmtId="0" fontId="50" fillId="0" borderId="15" xfId="0" applyFont="1" applyBorder="1" applyAlignment="1">
      <alignment horizontal="left" vertical="center"/>
    </xf>
    <xf numFmtId="0" fontId="50" fillId="0" borderId="17" xfId="0" applyFont="1" applyBorder="1" applyAlignment="1">
      <alignment horizontal="left" vertical="center"/>
    </xf>
    <xf numFmtId="0" fontId="50" fillId="0" borderId="23" xfId="0" applyFont="1" applyBorder="1" applyAlignment="1">
      <alignment horizontal="left" vertical="center"/>
    </xf>
    <xf numFmtId="165" fontId="22" fillId="0" borderId="75" xfId="0" applyNumberFormat="1" applyFont="1" applyBorder="1" applyAlignment="1">
      <alignment horizontal="center" vertical="center"/>
    </xf>
    <xf numFmtId="0" fontId="0" fillId="29" borderId="101" xfId="0" applyFill="1" applyBorder="1" applyAlignment="1">
      <alignment horizontal="center" vertical="center"/>
    </xf>
    <xf numFmtId="165" fontId="13" fillId="0" borderId="101" xfId="0" applyNumberFormat="1" applyFont="1" applyBorder="1" applyAlignment="1">
      <alignment horizontal="center" vertical="center"/>
    </xf>
    <xf numFmtId="0" fontId="0" fillId="0" borderId="53" xfId="0" applyBorder="1" applyAlignment="1">
      <alignment vertical="center" wrapText="1"/>
    </xf>
    <xf numFmtId="165" fontId="13" fillId="0" borderId="102" xfId="0" applyNumberFormat="1" applyFont="1" applyBorder="1" applyAlignment="1">
      <alignment horizontal="center" vertical="center"/>
    </xf>
    <xf numFmtId="0" fontId="0" fillId="33" borderId="102" xfId="0" applyFill="1" applyBorder="1" applyAlignment="1">
      <alignment horizontal="center" vertical="center"/>
    </xf>
    <xf numFmtId="0" fontId="69" fillId="0" borderId="33" xfId="0" applyFont="1" applyBorder="1" applyAlignment="1">
      <alignment vertical="center" wrapText="1"/>
    </xf>
    <xf numFmtId="0" fontId="69" fillId="0" borderId="103" xfId="0" applyFont="1" applyBorder="1" applyAlignment="1">
      <alignment vertical="center" wrapText="1"/>
    </xf>
    <xf numFmtId="0" fontId="0" fillId="0" borderId="40" xfId="0" applyBorder="1" applyAlignment="1">
      <alignment vertical="center" wrapText="1"/>
    </xf>
    <xf numFmtId="0" fontId="0" fillId="35" borderId="0" xfId="0" applyFill="1" applyAlignment="1">
      <alignment vertical="center" wrapText="1"/>
    </xf>
    <xf numFmtId="0" fontId="13" fillId="0" borderId="53" xfId="107" applyBorder="1"/>
    <xf numFmtId="0" fontId="13" fillId="0" borderId="53" xfId="107" applyBorder="1" applyAlignment="1">
      <alignment vertical="center"/>
    </xf>
    <xf numFmtId="0" fontId="13" fillId="0" borderId="10" xfId="107" applyBorder="1" applyAlignment="1">
      <alignment vertical="center" wrapText="1"/>
    </xf>
    <xf numFmtId="0" fontId="13" fillId="0" borderId="22" xfId="107" applyBorder="1" applyAlignment="1">
      <alignment horizontal="center" vertical="center" wrapText="1"/>
    </xf>
    <xf numFmtId="0" fontId="13" fillId="29" borderId="31" xfId="71" applyFont="1" applyFill="1" applyBorder="1" applyAlignment="1" applyProtection="1">
      <alignment horizontal="center" vertical="center"/>
      <protection locked="0"/>
    </xf>
    <xf numFmtId="0" fontId="17" fillId="0" borderId="0" xfId="107" applyFont="1" applyAlignment="1">
      <alignment horizontal="left" vertical="center" wrapText="1"/>
    </xf>
    <xf numFmtId="0" fontId="13" fillId="0" borderId="19" xfId="107" applyBorder="1" applyAlignment="1">
      <alignment horizontal="left" vertical="center" wrapText="1"/>
    </xf>
    <xf numFmtId="0" fontId="52" fillId="29" borderId="42" xfId="71" applyFont="1" applyFill="1" applyBorder="1" applyAlignment="1" applyProtection="1">
      <alignment horizontal="center" vertical="center"/>
    </xf>
    <xf numFmtId="0" fontId="16" fillId="27" borderId="32" xfId="71" applyFont="1" applyFill="1" applyBorder="1" applyAlignment="1" applyProtection="1">
      <alignment horizontal="center" vertical="center"/>
    </xf>
    <xf numFmtId="0" fontId="14" fillId="0" borderId="0" xfId="107" applyFont="1" applyAlignment="1">
      <alignment vertical="center" wrapText="1"/>
    </xf>
    <xf numFmtId="0" fontId="13" fillId="0" borderId="75" xfId="107" applyBorder="1" applyAlignment="1">
      <alignment horizontal="center" vertical="center" wrapText="1"/>
    </xf>
    <xf numFmtId="0" fontId="13" fillId="0" borderId="87" xfId="107" applyBorder="1" applyAlignment="1">
      <alignment horizontal="left" vertical="center" wrapText="1"/>
    </xf>
    <xf numFmtId="0" fontId="13" fillId="0" borderId="53" xfId="107" applyBorder="1" applyAlignment="1">
      <alignment horizontal="center" vertical="center" wrapText="1"/>
    </xf>
    <xf numFmtId="0" fontId="13" fillId="29" borderId="18" xfId="71" applyFont="1" applyFill="1" applyBorder="1" applyAlignment="1" applyProtection="1">
      <alignment horizontal="center" vertical="center" wrapText="1"/>
      <protection locked="0"/>
    </xf>
    <xf numFmtId="0" fontId="13" fillId="29" borderId="20" xfId="71" applyFont="1" applyFill="1" applyBorder="1" applyAlignment="1" applyProtection="1">
      <alignment horizontal="center" vertical="center" wrapText="1"/>
      <protection locked="0"/>
    </xf>
    <xf numFmtId="0" fontId="69" fillId="0" borderId="100" xfId="0" applyFont="1" applyBorder="1" applyAlignment="1" applyProtection="1">
      <alignment vertical="center"/>
      <protection locked="0"/>
    </xf>
    <xf numFmtId="0" fontId="50" fillId="0" borderId="24" xfId="0" applyFont="1" applyBorder="1" applyAlignment="1">
      <alignment horizontal="left" vertical="center"/>
    </xf>
    <xf numFmtId="0" fontId="50" fillId="0" borderId="72" xfId="0" applyFont="1" applyBorder="1" applyAlignment="1">
      <alignment horizontal="left" vertical="center"/>
    </xf>
    <xf numFmtId="0" fontId="13" fillId="29" borderId="31" xfId="71" applyFont="1" applyFill="1" applyBorder="1" applyAlignment="1" applyProtection="1">
      <alignment horizontal="center" vertical="center" wrapText="1"/>
      <protection locked="0"/>
    </xf>
    <xf numFmtId="0" fontId="16" fillId="28" borderId="64" xfId="107" applyFont="1" applyFill="1" applyBorder="1" applyAlignment="1">
      <alignment horizontal="center" vertical="center"/>
    </xf>
    <xf numFmtId="0" fontId="13" fillId="0" borderId="0" xfId="107" applyAlignment="1">
      <alignment horizontal="center"/>
    </xf>
    <xf numFmtId="0" fontId="61" fillId="0" borderId="10" xfId="145" applyFont="1" applyBorder="1" applyProtection="1">
      <protection locked="0"/>
    </xf>
    <xf numFmtId="0" fontId="62" fillId="0" borderId="10" xfId="145" applyFont="1" applyBorder="1" applyAlignment="1" applyProtection="1">
      <alignment wrapText="1"/>
      <protection locked="0"/>
    </xf>
    <xf numFmtId="0" fontId="62" fillId="0" borderId="10" xfId="145" applyFont="1" applyBorder="1" applyProtection="1">
      <protection locked="0"/>
    </xf>
    <xf numFmtId="9" fontId="68" fillId="26" borderId="37" xfId="145" applyNumberFormat="1" applyFont="1" applyFill="1" applyBorder="1" applyAlignment="1">
      <alignment horizontal="center" vertical="center"/>
    </xf>
    <xf numFmtId="0" fontId="68" fillId="26" borderId="24" xfId="145" applyFont="1" applyFill="1" applyBorder="1" applyAlignment="1">
      <alignment horizontal="center" vertical="center"/>
    </xf>
    <xf numFmtId="0" fontId="72" fillId="0" borderId="77" xfId="145" applyFont="1" applyBorder="1"/>
    <xf numFmtId="0" fontId="68" fillId="0" borderId="17" xfId="145" applyFont="1" applyBorder="1" applyAlignment="1">
      <alignment vertical="center"/>
    </xf>
    <xf numFmtId="0" fontId="13" fillId="0" borderId="17" xfId="107" applyBorder="1" applyAlignment="1">
      <alignment horizontal="left" vertical="center"/>
    </xf>
    <xf numFmtId="0" fontId="16" fillId="28" borderId="33" xfId="107" applyFont="1" applyFill="1" applyBorder="1" applyAlignment="1">
      <alignment vertical="center" wrapText="1"/>
    </xf>
    <xf numFmtId="0" fontId="16" fillId="28" borderId="58" xfId="71" applyFont="1" applyFill="1" applyBorder="1" applyAlignment="1" applyProtection="1">
      <alignment horizontal="center" vertical="center" wrapText="1"/>
    </xf>
    <xf numFmtId="0" fontId="16" fillId="29" borderId="31" xfId="71" applyFont="1" applyFill="1" applyBorder="1" applyAlignment="1" applyProtection="1">
      <alignment horizontal="center" vertical="center" wrapText="1"/>
      <protection locked="0"/>
    </xf>
    <xf numFmtId="168" fontId="17" fillId="26" borderId="37" xfId="0" applyNumberFormat="1" applyFont="1" applyFill="1" applyBorder="1" applyAlignment="1">
      <alignment horizontal="center" vertical="center" wrapText="1"/>
    </xf>
    <xf numFmtId="168" fontId="17" fillId="29" borderId="11" xfId="0" applyNumberFormat="1" applyFont="1" applyFill="1" applyBorder="1" applyAlignment="1" applyProtection="1">
      <alignment horizontal="center" vertical="center" wrapText="1"/>
      <protection locked="0"/>
    </xf>
    <xf numFmtId="168" fontId="17" fillId="29" borderId="10" xfId="0" applyNumberFormat="1" applyFont="1" applyFill="1" applyBorder="1" applyAlignment="1" applyProtection="1">
      <alignment horizontal="center" vertical="center" wrapText="1"/>
      <protection locked="0"/>
    </xf>
    <xf numFmtId="168" fontId="17" fillId="29" borderId="30" xfId="0" applyNumberFormat="1" applyFont="1" applyFill="1" applyBorder="1" applyAlignment="1" applyProtection="1">
      <alignment horizontal="center" vertical="center" wrapText="1"/>
      <protection locked="0"/>
    </xf>
    <xf numFmtId="168" fontId="17" fillId="29" borderId="71" xfId="0" applyNumberFormat="1" applyFont="1" applyFill="1" applyBorder="1" applyAlignment="1" applyProtection="1">
      <alignment horizontal="center" vertical="center" wrapText="1"/>
      <protection locked="0"/>
    </xf>
    <xf numFmtId="166" fontId="46" fillId="30" borderId="71" xfId="0" applyNumberFormat="1" applyFont="1" applyFill="1" applyBorder="1" applyAlignment="1">
      <alignment horizontal="center" vertical="center" wrapText="1"/>
    </xf>
    <xf numFmtId="166" fontId="80" fillId="30" borderId="15" xfId="0" applyNumberFormat="1" applyFont="1" applyFill="1" applyBorder="1" applyAlignment="1">
      <alignment horizontal="center" vertical="center" wrapText="1"/>
    </xf>
    <xf numFmtId="1" fontId="17" fillId="26" borderId="95" xfId="0" applyNumberFormat="1" applyFont="1" applyFill="1" applyBorder="1" applyAlignment="1">
      <alignment horizontal="center" vertical="center" wrapText="1"/>
    </xf>
    <xf numFmtId="165" fontId="46" fillId="31" borderId="16" xfId="0" applyNumberFormat="1" applyFont="1" applyFill="1" applyBorder="1" applyAlignment="1">
      <alignment horizontal="center" vertical="center"/>
    </xf>
    <xf numFmtId="0" fontId="46" fillId="31" borderId="65" xfId="0" applyFont="1" applyFill="1" applyBorder="1" applyAlignment="1">
      <alignment horizontal="left" vertical="center" wrapText="1"/>
    </xf>
    <xf numFmtId="166" fontId="46" fillId="31" borderId="65" xfId="0" applyNumberFormat="1" applyFont="1" applyFill="1" applyBorder="1" applyAlignment="1">
      <alignment horizontal="center" vertical="center" wrapText="1"/>
    </xf>
    <xf numFmtId="1" fontId="46" fillId="31" borderId="72" xfId="0" applyNumberFormat="1" applyFont="1" applyFill="1" applyBorder="1" applyAlignment="1">
      <alignment horizontal="center" vertical="center" wrapText="1"/>
    </xf>
    <xf numFmtId="166" fontId="46" fillId="31" borderId="15" xfId="0" applyNumberFormat="1" applyFont="1" applyFill="1" applyBorder="1" applyAlignment="1">
      <alignment horizontal="center" vertical="center" wrapText="1"/>
    </xf>
    <xf numFmtId="166" fontId="46" fillId="31" borderId="64" xfId="0" applyNumberFormat="1" applyFont="1" applyFill="1" applyBorder="1" applyAlignment="1">
      <alignment horizontal="center" vertical="center" wrapText="1"/>
    </xf>
    <xf numFmtId="1" fontId="46" fillId="31" borderId="59" xfId="0" applyNumberFormat="1" applyFont="1" applyFill="1" applyBorder="1" applyAlignment="1">
      <alignment horizontal="center" vertical="center" wrapText="1"/>
    </xf>
    <xf numFmtId="166" fontId="46" fillId="32" borderId="71" xfId="0" applyNumberFormat="1" applyFont="1" applyFill="1" applyBorder="1" applyAlignment="1">
      <alignment horizontal="center" vertical="center" wrapText="1"/>
    </xf>
    <xf numFmtId="1" fontId="46" fillId="32" borderId="72" xfId="0" applyNumberFormat="1" applyFont="1" applyFill="1" applyBorder="1" applyAlignment="1">
      <alignment horizontal="center" vertical="center" wrapText="1"/>
    </xf>
    <xf numFmtId="166" fontId="46" fillId="32" borderId="15" xfId="0" applyNumberFormat="1" applyFont="1" applyFill="1" applyBorder="1" applyAlignment="1">
      <alignment horizontal="center" vertical="center" wrapText="1"/>
    </xf>
    <xf numFmtId="1" fontId="46" fillId="32" borderId="59" xfId="0" applyNumberFormat="1" applyFont="1" applyFill="1" applyBorder="1" applyAlignment="1">
      <alignment horizontal="center" vertical="center" wrapText="1"/>
    </xf>
    <xf numFmtId="0" fontId="46" fillId="23" borderId="65" xfId="0" applyFont="1" applyFill="1" applyBorder="1" applyAlignment="1">
      <alignment horizontal="left" vertical="center" wrapText="1"/>
    </xf>
    <xf numFmtId="166" fontId="46" fillId="23" borderId="16" xfId="0" applyNumberFormat="1" applyFont="1" applyFill="1" applyBorder="1" applyAlignment="1">
      <alignment horizontal="center" vertical="center" wrapText="1"/>
    </xf>
    <xf numFmtId="1" fontId="46" fillId="36" borderId="72" xfId="0" applyNumberFormat="1" applyFont="1" applyFill="1" applyBorder="1" applyAlignment="1">
      <alignment horizontal="center" vertical="center" wrapText="1"/>
    </xf>
    <xf numFmtId="166" fontId="46" fillId="23" borderId="15" xfId="0" applyNumberFormat="1" applyFont="1" applyFill="1" applyBorder="1" applyAlignment="1">
      <alignment horizontal="center" vertical="center" wrapText="1"/>
    </xf>
    <xf numFmtId="1" fontId="46" fillId="23" borderId="72" xfId="0" applyNumberFormat="1" applyFont="1" applyFill="1" applyBorder="1" applyAlignment="1">
      <alignment horizontal="center" vertical="center" wrapText="1"/>
    </xf>
    <xf numFmtId="166" fontId="46" fillId="23" borderId="65" xfId="0" applyNumberFormat="1" applyFont="1" applyFill="1" applyBorder="1" applyAlignment="1">
      <alignment horizontal="center" vertical="center" wrapText="1"/>
    </xf>
    <xf numFmtId="1" fontId="46" fillId="23" borderId="59" xfId="0" applyNumberFormat="1" applyFont="1" applyFill="1" applyBorder="1" applyAlignment="1">
      <alignment horizontal="center" vertical="center" wrapText="1"/>
    </xf>
    <xf numFmtId="166" fontId="17" fillId="27" borderId="10" xfId="0" applyNumberFormat="1" applyFont="1" applyFill="1" applyBorder="1" applyAlignment="1">
      <alignment horizontal="center" vertical="center" wrapText="1"/>
    </xf>
    <xf numFmtId="166" fontId="17" fillId="27" borderId="17" xfId="0" applyNumberFormat="1" applyFont="1" applyFill="1" applyBorder="1" applyAlignment="1">
      <alignment horizontal="center" vertical="center" wrapText="1"/>
    </xf>
    <xf numFmtId="166" fontId="17" fillId="27" borderId="46" xfId="0" applyNumberFormat="1" applyFont="1" applyFill="1" applyBorder="1" applyAlignment="1">
      <alignment horizontal="center" vertical="center" wrapText="1"/>
    </xf>
    <xf numFmtId="1" fontId="17" fillId="26" borderId="78" xfId="0" applyNumberFormat="1" applyFont="1" applyFill="1" applyBorder="1" applyAlignment="1">
      <alignment horizontal="center" vertical="center" wrapText="1"/>
    </xf>
    <xf numFmtId="0" fontId="13" fillId="0" borderId="0" xfId="0" applyFon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left" vertical="center"/>
    </xf>
    <xf numFmtId="165" fontId="13" fillId="0" borderId="0" xfId="0" applyNumberFormat="1"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19" xfId="107" applyBorder="1"/>
    <xf numFmtId="0" fontId="68" fillId="27" borderId="79" xfId="145" applyFont="1" applyFill="1" applyBorder="1" applyAlignment="1">
      <alignment horizontal="center"/>
    </xf>
    <xf numFmtId="0" fontId="61" fillId="27" borderId="71" xfId="145" applyFont="1" applyFill="1" applyBorder="1" applyAlignment="1">
      <alignment horizontal="center" wrapText="1"/>
    </xf>
    <xf numFmtId="0" fontId="61" fillId="27" borderId="72" xfId="145" applyFont="1" applyFill="1" applyBorder="1" applyAlignment="1">
      <alignment horizontal="center"/>
    </xf>
    <xf numFmtId="9" fontId="68" fillId="29" borderId="10" xfId="145" applyNumberFormat="1" applyFont="1" applyFill="1" applyBorder="1" applyAlignment="1" applyProtection="1">
      <alignment horizontal="center"/>
      <protection locked="0"/>
    </xf>
    <xf numFmtId="0" fontId="68" fillId="0" borderId="43" xfId="145" applyFont="1" applyBorder="1" applyAlignment="1">
      <alignment horizontal="center"/>
    </xf>
    <xf numFmtId="0" fontId="61" fillId="0" borderId="43" xfId="145" applyFont="1" applyBorder="1" applyAlignment="1">
      <alignment horizontal="center"/>
    </xf>
    <xf numFmtId="0" fontId="61" fillId="0" borderId="45" xfId="145" applyFont="1" applyBorder="1" applyAlignment="1">
      <alignment horizontal="center"/>
    </xf>
    <xf numFmtId="0" fontId="68" fillId="0" borderId="48" xfId="145" applyFont="1" applyBorder="1"/>
    <xf numFmtId="0" fontId="68" fillId="0" borderId="30" xfId="145" applyFont="1" applyBorder="1" applyAlignment="1">
      <alignment horizontal="center"/>
    </xf>
    <xf numFmtId="0" fontId="61" fillId="0" borderId="22" xfId="145" applyFont="1" applyBorder="1" applyAlignment="1">
      <alignment horizontal="center"/>
    </xf>
    <xf numFmtId="0" fontId="68" fillId="0" borderId="25" xfId="145" applyFont="1" applyBorder="1"/>
    <xf numFmtId="0" fontId="68" fillId="0" borderId="40" xfId="145" applyFont="1" applyBorder="1" applyAlignment="1">
      <alignment horizontal="center"/>
    </xf>
    <xf numFmtId="0" fontId="68" fillId="0" borderId="76" xfId="145" applyFont="1" applyBorder="1"/>
    <xf numFmtId="0" fontId="68" fillId="0" borderId="41" xfId="145" applyFont="1" applyBorder="1" applyAlignment="1">
      <alignment horizontal="center"/>
    </xf>
    <xf numFmtId="9" fontId="68" fillId="29" borderId="11" xfId="145" applyNumberFormat="1" applyFont="1" applyFill="1" applyBorder="1" applyAlignment="1" applyProtection="1">
      <alignment horizontal="center"/>
      <protection locked="0"/>
    </xf>
    <xf numFmtId="0" fontId="68" fillId="0" borderId="11" xfId="145" applyFont="1" applyBorder="1" applyAlignment="1">
      <alignment horizontal="center"/>
    </xf>
    <xf numFmtId="0" fontId="68" fillId="0" borderId="27" xfId="145" applyFont="1" applyBorder="1"/>
    <xf numFmtId="0" fontId="68" fillId="0" borderId="87" xfId="145" applyFont="1" applyBorder="1"/>
    <xf numFmtId="0" fontId="68" fillId="0" borderId="49" xfId="145" applyFont="1" applyBorder="1"/>
    <xf numFmtId="9" fontId="68" fillId="29" borderId="28" xfId="145" applyNumberFormat="1" applyFont="1" applyFill="1" applyBorder="1" applyAlignment="1" applyProtection="1">
      <alignment horizontal="center"/>
      <protection locked="0"/>
    </xf>
    <xf numFmtId="9" fontId="81" fillId="0" borderId="11" xfId="145" applyNumberFormat="1" applyFont="1" applyBorder="1" applyAlignment="1">
      <alignment horizontal="center"/>
    </xf>
    <xf numFmtId="9" fontId="68" fillId="29" borderId="46" xfId="145" applyNumberFormat="1" applyFont="1" applyFill="1" applyBorder="1" applyAlignment="1" applyProtection="1">
      <alignment horizontal="center"/>
      <protection locked="0"/>
    </xf>
    <xf numFmtId="0" fontId="13" fillId="0" borderId="55" xfId="107" applyBorder="1"/>
    <xf numFmtId="0" fontId="13" fillId="0" borderId="48" xfId="107" applyBorder="1" applyAlignment="1" applyProtection="1">
      <alignment vertical="center" wrapText="1"/>
      <protection locked="0"/>
    </xf>
    <xf numFmtId="0" fontId="16" fillId="28" borderId="58" xfId="107" applyFont="1" applyFill="1" applyBorder="1" applyAlignment="1">
      <alignment horizontal="center" vertical="center"/>
    </xf>
    <xf numFmtId="0" fontId="13" fillId="0" borderId="91" xfId="107" applyBorder="1" applyAlignment="1">
      <alignment vertical="center"/>
    </xf>
    <xf numFmtId="0" fontId="13" fillId="0" borderId="31" xfId="107" applyBorder="1" applyAlignment="1">
      <alignment vertical="center"/>
    </xf>
    <xf numFmtId="0" fontId="16" fillId="28" borderId="59" xfId="107" applyFont="1" applyFill="1" applyBorder="1" applyAlignment="1">
      <alignment horizontal="center" vertical="center"/>
    </xf>
    <xf numFmtId="1" fontId="17" fillId="26" borderId="26" xfId="107" applyNumberFormat="1" applyFont="1" applyFill="1" applyBorder="1" applyAlignment="1">
      <alignment horizontal="center" vertical="center"/>
    </xf>
    <xf numFmtId="0" fontId="16" fillId="28" borderId="32" xfId="107" applyFont="1" applyFill="1" applyBorder="1" applyAlignment="1">
      <alignment horizontal="center" vertical="center"/>
    </xf>
    <xf numFmtId="0" fontId="16" fillId="28" borderId="64" xfId="107" applyFont="1" applyFill="1" applyBorder="1" applyAlignment="1">
      <alignment horizontal="left" vertical="center"/>
    </xf>
    <xf numFmtId="0" fontId="13" fillId="0" borderId="25" xfId="107" applyBorder="1" applyAlignment="1">
      <alignment horizontal="left" vertical="center"/>
    </xf>
    <xf numFmtId="0" fontId="17" fillId="26" borderId="93" xfId="107" applyFont="1" applyFill="1" applyBorder="1" applyAlignment="1">
      <alignment horizontal="left" vertical="center"/>
    </xf>
    <xf numFmtId="0" fontId="16" fillId="28" borderId="88" xfId="107" applyFont="1" applyFill="1" applyBorder="1" applyAlignment="1">
      <alignment horizontal="left" vertical="center"/>
    </xf>
    <xf numFmtId="0" fontId="13" fillId="0" borderId="31" xfId="107" applyBorder="1" applyAlignment="1">
      <alignment horizontal="left" vertical="center"/>
    </xf>
    <xf numFmtId="0" fontId="17" fillId="26" borderId="97" xfId="107" applyFont="1" applyFill="1" applyBorder="1" applyAlignment="1">
      <alignment horizontal="left" vertical="center" wrapText="1"/>
    </xf>
    <xf numFmtId="0" fontId="17" fillId="26" borderId="26" xfId="107" applyFont="1" applyFill="1" applyBorder="1" applyAlignment="1">
      <alignment horizontal="left" vertical="center" wrapText="1"/>
    </xf>
    <xf numFmtId="0" fontId="13" fillId="0" borderId="17" xfId="107" applyBorder="1" applyAlignment="1">
      <alignment horizontal="left" vertical="center" wrapText="1"/>
    </xf>
    <xf numFmtId="0" fontId="82" fillId="29" borderId="31" xfId="71" applyFont="1" applyFill="1" applyBorder="1" applyAlignment="1" applyProtection="1">
      <alignment horizontal="center" vertical="center"/>
      <protection locked="0"/>
    </xf>
    <xf numFmtId="0" fontId="13" fillId="0" borderId="36" xfId="107" applyBorder="1" applyAlignment="1">
      <alignment horizontal="left"/>
    </xf>
    <xf numFmtId="0" fontId="13" fillId="0" borderId="36" xfId="107" applyBorder="1" applyAlignment="1">
      <alignment horizontal="center"/>
    </xf>
    <xf numFmtId="0" fontId="13" fillId="0" borderId="49" xfId="107" applyBorder="1" applyAlignment="1" applyProtection="1">
      <alignment horizontal="left" vertical="center" wrapText="1"/>
      <protection locked="0"/>
    </xf>
    <xf numFmtId="0" fontId="13" fillId="0" borderId="48" xfId="107" applyBorder="1"/>
    <xf numFmtId="0" fontId="13" fillId="0" borderId="36" xfId="0" applyFont="1" applyBorder="1" applyAlignment="1">
      <alignment horizontal="left"/>
    </xf>
    <xf numFmtId="0" fontId="13" fillId="0" borderId="0" xfId="0" applyFont="1" applyAlignment="1">
      <alignment horizontal="left"/>
    </xf>
    <xf numFmtId="0" fontId="13" fillId="0" borderId="19" xfId="107" applyBorder="1" applyAlignment="1">
      <alignment horizontal="left" wrapText="1"/>
    </xf>
    <xf numFmtId="0" fontId="13" fillId="0" borderId="48" xfId="107" applyBorder="1" applyAlignment="1">
      <alignment horizontal="left" wrapText="1"/>
    </xf>
    <xf numFmtId="0" fontId="13" fillId="0" borderId="48" xfId="107" applyBorder="1" applyAlignment="1">
      <alignment vertical="center"/>
    </xf>
    <xf numFmtId="0" fontId="82" fillId="29" borderId="55" xfId="71" applyFont="1" applyFill="1" applyBorder="1" applyAlignment="1" applyProtection="1">
      <alignment horizontal="center" vertical="center"/>
      <protection locked="0"/>
    </xf>
    <xf numFmtId="0" fontId="13" fillId="0" borderId="27" xfId="107" applyBorder="1" applyAlignment="1">
      <alignment horizontal="left" vertical="center" wrapText="1"/>
    </xf>
    <xf numFmtId="0" fontId="26" fillId="0" borderId="46" xfId="107" applyFont="1" applyBorder="1" applyAlignment="1">
      <alignment vertical="center" wrapText="1"/>
    </xf>
    <xf numFmtId="167" fontId="16" fillId="0" borderId="30" xfId="86" applyNumberFormat="1" applyFont="1" applyBorder="1" applyAlignment="1" applyProtection="1">
      <alignment horizontal="center" vertical="center" wrapText="1"/>
    </xf>
    <xf numFmtId="0" fontId="16" fillId="0" borderId="30" xfId="0" applyFont="1" applyBorder="1" applyAlignment="1">
      <alignment vertical="center"/>
    </xf>
    <xf numFmtId="0" fontId="17" fillId="26" borderId="109" xfId="107" applyFont="1" applyFill="1" applyBorder="1" applyAlignment="1">
      <alignment horizontal="center" vertical="center" wrapText="1"/>
    </xf>
    <xf numFmtId="0" fontId="17" fillId="0" borderId="108" xfId="107" applyFont="1" applyBorder="1" applyAlignment="1">
      <alignment horizontal="center" vertical="center"/>
    </xf>
    <xf numFmtId="0" fontId="16" fillId="0" borderId="30" xfId="107" applyFont="1" applyBorder="1" applyAlignment="1">
      <alignment vertical="center"/>
    </xf>
    <xf numFmtId="0" fontId="13" fillId="29" borderId="31" xfId="0" applyFont="1" applyFill="1" applyBorder="1" applyAlignment="1" applyProtection="1">
      <alignment horizontal="center" vertical="center"/>
      <protection locked="0"/>
    </xf>
    <xf numFmtId="0" fontId="13" fillId="0" borderId="10" xfId="0" applyFont="1" applyBorder="1" applyAlignment="1">
      <alignment horizontal="left" vertical="center"/>
    </xf>
    <xf numFmtId="0" fontId="16" fillId="0" borderId="30" xfId="0" applyFont="1" applyBorder="1" applyAlignment="1">
      <alignment horizontal="center" vertical="center"/>
    </xf>
    <xf numFmtId="0" fontId="16" fillId="0" borderId="37" xfId="0" applyFont="1" applyBorder="1" applyAlignment="1">
      <alignment horizontal="center" vertical="center" wrapText="1"/>
    </xf>
    <xf numFmtId="0" fontId="62" fillId="0" borderId="0" xfId="1144"/>
    <xf numFmtId="0" fontId="62" fillId="0" borderId="10" xfId="1144" applyBorder="1" applyAlignment="1">
      <alignment vertical="center" wrapText="1"/>
    </xf>
    <xf numFmtId="0" fontId="62" fillId="0" borderId="11" xfId="1144" applyBorder="1" applyAlignment="1">
      <alignment horizontal="center" vertical="center" wrapText="1"/>
    </xf>
    <xf numFmtId="0" fontId="13" fillId="0" borderId="31" xfId="107" applyBorder="1" applyAlignment="1">
      <alignment horizontal="center" vertical="center"/>
    </xf>
    <xf numFmtId="0" fontId="62" fillId="0" borderId="11" xfId="1144" applyBorder="1" applyAlignment="1">
      <alignment vertical="center" wrapText="1"/>
    </xf>
    <xf numFmtId="0" fontId="62" fillId="0" borderId="22" xfId="1144" applyBorder="1" applyAlignment="1">
      <alignment horizontal="center" vertical="center" wrapText="1"/>
    </xf>
    <xf numFmtId="0" fontId="13" fillId="29" borderId="31" xfId="107" applyFill="1" applyBorder="1" applyAlignment="1" applyProtection="1">
      <alignment horizontal="center" vertical="center" wrapText="1"/>
      <protection locked="0"/>
    </xf>
    <xf numFmtId="0" fontId="87" fillId="0" borderId="0" xfId="1144" applyFont="1" applyAlignment="1">
      <alignment vertical="center"/>
    </xf>
    <xf numFmtId="0" fontId="23" fillId="0" borderId="11" xfId="107" applyFont="1" applyBorder="1" applyAlignment="1">
      <alignment vertical="center" wrapText="1"/>
    </xf>
    <xf numFmtId="0" fontId="23" fillId="0" borderId="21" xfId="107" applyFont="1" applyBorder="1" applyAlignment="1">
      <alignment horizontal="center" vertical="center" wrapText="1"/>
    </xf>
    <xf numFmtId="0" fontId="13" fillId="0" borderId="0" xfId="107" applyProtection="1">
      <protection locked="0"/>
    </xf>
    <xf numFmtId="0" fontId="23" fillId="0" borderId="0" xfId="107" applyFont="1" applyAlignment="1">
      <alignment horizontal="left" vertical="top" wrapText="1"/>
    </xf>
    <xf numFmtId="0" fontId="13" fillId="0" borderId="0" xfId="107" applyAlignment="1">
      <alignment horizontal="center" vertical="center"/>
    </xf>
    <xf numFmtId="0" fontId="13" fillId="0" borderId="0" xfId="107" applyAlignment="1" applyProtection="1">
      <alignment vertical="center"/>
      <protection locked="0"/>
    </xf>
    <xf numFmtId="0" fontId="44" fillId="0" borderId="0" xfId="85" applyBorder="1" applyAlignment="1" applyProtection="1"/>
    <xf numFmtId="0" fontId="13" fillId="0" borderId="28" xfId="107" applyBorder="1" applyAlignment="1">
      <alignment horizontal="center" vertical="center" wrapText="1"/>
    </xf>
    <xf numFmtId="0" fontId="13" fillId="0" borderId="24" xfId="107" applyBorder="1" applyAlignment="1">
      <alignment horizontal="center" vertical="center" wrapText="1"/>
    </xf>
    <xf numFmtId="0" fontId="16" fillId="27" borderId="16" xfId="107" applyFont="1" applyFill="1" applyBorder="1" applyAlignment="1">
      <alignment horizontal="center" vertical="center" wrapText="1"/>
    </xf>
    <xf numFmtId="0" fontId="13" fillId="0" borderId="30" xfId="107" applyBorder="1" applyAlignment="1">
      <alignment vertical="center" wrapText="1"/>
    </xf>
    <xf numFmtId="0" fontId="13" fillId="0" borderId="21" xfId="107" applyBorder="1" applyAlignment="1">
      <alignment horizontal="center" vertical="center" wrapText="1"/>
    </xf>
    <xf numFmtId="0" fontId="13" fillId="0" borderId="10" xfId="0" applyFont="1" applyBorder="1" applyAlignment="1">
      <alignment horizontal="left" vertical="center" wrapText="1"/>
    </xf>
    <xf numFmtId="0" fontId="28" fillId="26" borderId="108" xfId="107" applyFont="1" applyFill="1" applyBorder="1" applyAlignment="1">
      <alignment vertical="center" wrapText="1"/>
    </xf>
    <xf numFmtId="0" fontId="50" fillId="29" borderId="58" xfId="71" applyFont="1" applyFill="1" applyBorder="1" applyAlignment="1" applyProtection="1">
      <alignment horizontal="center" vertical="center" wrapText="1"/>
    </xf>
    <xf numFmtId="0" fontId="16" fillId="0" borderId="76" xfId="107" applyFont="1" applyBorder="1" applyAlignment="1">
      <alignment vertical="center" wrapText="1"/>
    </xf>
    <xf numFmtId="0" fontId="13" fillId="0" borderId="43" xfId="107" applyBorder="1" applyAlignment="1">
      <alignment horizontal="center" vertical="center" wrapText="1"/>
    </xf>
    <xf numFmtId="0" fontId="13" fillId="0" borderId="31" xfId="107" applyBorder="1" applyAlignment="1">
      <alignment horizontal="center" vertical="center" wrapText="1"/>
    </xf>
    <xf numFmtId="0" fontId="50" fillId="29" borderId="58" xfId="71" applyFont="1" applyFill="1" applyBorder="1" applyAlignment="1" applyProtection="1">
      <alignment horizontal="center" vertical="center" wrapText="1"/>
      <protection locked="0"/>
    </xf>
    <xf numFmtId="0" fontId="13" fillId="0" borderId="59" xfId="107" applyBorder="1" applyAlignment="1">
      <alignment horizontal="center" vertical="center"/>
    </xf>
    <xf numFmtId="1" fontId="17" fillId="26" borderId="31" xfId="107" applyNumberFormat="1" applyFont="1" applyFill="1" applyBorder="1" applyAlignment="1">
      <alignment horizontal="center" vertical="center"/>
    </xf>
    <xf numFmtId="0" fontId="13" fillId="0" borderId="45" xfId="107" applyBorder="1" applyAlignment="1">
      <alignment horizontal="center" vertical="center"/>
    </xf>
    <xf numFmtId="0" fontId="14" fillId="0" borderId="0" xfId="107" applyFont="1"/>
    <xf numFmtId="0" fontId="13" fillId="0" borderId="52" xfId="107" applyBorder="1" applyAlignment="1">
      <alignment horizontal="center" vertical="center"/>
    </xf>
    <xf numFmtId="0" fontId="50" fillId="29" borderId="20" xfId="71" applyFont="1" applyFill="1" applyBorder="1" applyAlignment="1" applyProtection="1">
      <alignment horizontal="center" vertical="center" wrapText="1"/>
      <protection locked="0"/>
    </xf>
    <xf numFmtId="0" fontId="17" fillId="26" borderId="29" xfId="107" applyFont="1" applyFill="1" applyBorder="1" applyAlignment="1">
      <alignment horizontal="center" vertical="center"/>
    </xf>
    <xf numFmtId="166" fontId="17" fillId="26" borderId="29" xfId="107" applyNumberFormat="1" applyFont="1" applyFill="1" applyBorder="1" applyAlignment="1">
      <alignment horizontal="center" vertical="center"/>
    </xf>
    <xf numFmtId="0" fontId="61" fillId="0" borderId="0" xfId="1146" applyFont="1" applyAlignment="1">
      <alignment vertical="center"/>
    </xf>
    <xf numFmtId="0" fontId="61" fillId="0" borderId="19" xfId="1146" applyFont="1" applyBorder="1" applyAlignment="1">
      <alignment vertical="center"/>
    </xf>
    <xf numFmtId="0" fontId="68" fillId="27" borderId="64" xfId="1146" applyFont="1" applyFill="1" applyBorder="1" applyAlignment="1">
      <alignment horizontal="left" vertical="center"/>
    </xf>
    <xf numFmtId="0" fontId="68" fillId="27" borderId="71" xfId="1146" applyFont="1" applyFill="1" applyBorder="1" applyAlignment="1">
      <alignment horizontal="center" vertical="center"/>
    </xf>
    <xf numFmtId="0" fontId="68" fillId="27" borderId="59" xfId="1146" applyFont="1" applyFill="1" applyBorder="1" applyAlignment="1">
      <alignment horizontal="left" vertical="center"/>
    </xf>
    <xf numFmtId="0" fontId="62" fillId="0" borderId="49" xfId="1146" applyFont="1" applyBorder="1" applyAlignment="1">
      <alignment vertical="center"/>
    </xf>
    <xf numFmtId="0" fontId="62" fillId="0" borderId="58" xfId="1146" applyFont="1" applyBorder="1" applyAlignment="1">
      <alignment vertical="center"/>
    </xf>
    <xf numFmtId="0" fontId="62" fillId="0" borderId="17" xfId="1146" applyFont="1" applyBorder="1" applyAlignment="1">
      <alignment vertical="center"/>
    </xf>
    <xf numFmtId="168" fontId="13" fillId="29" borderId="10" xfId="72" applyNumberFormat="1" applyFont="1" applyFill="1" applyBorder="1" applyAlignment="1" applyProtection="1">
      <alignment horizontal="center" vertical="center"/>
      <protection locked="0"/>
    </xf>
    <xf numFmtId="0" fontId="62" fillId="0" borderId="22" xfId="1146" applyFont="1" applyBorder="1" applyAlignment="1">
      <alignment vertical="center"/>
    </xf>
    <xf numFmtId="0" fontId="62" fillId="0" borderId="17" xfId="1146" applyFont="1" applyBorder="1" applyAlignment="1" applyProtection="1">
      <alignment horizontal="left" vertical="center" wrapText="1"/>
      <protection locked="0"/>
    </xf>
    <xf numFmtId="0" fontId="62" fillId="0" borderId="0" xfId="1146" applyFont="1" applyAlignment="1">
      <alignment vertical="center"/>
    </xf>
    <xf numFmtId="0" fontId="13" fillId="29" borderId="10" xfId="72" applyFont="1" applyFill="1" applyBorder="1" applyAlignment="1" applyProtection="1">
      <alignment horizontal="right" vertical="center"/>
    </xf>
    <xf numFmtId="0" fontId="62" fillId="0" borderId="31" xfId="1146" applyFont="1" applyBorder="1" applyAlignment="1">
      <alignment horizontal="left" vertical="center" wrapText="1"/>
    </xf>
    <xf numFmtId="0" fontId="62" fillId="0" borderId="25" xfId="1146" applyFont="1" applyBorder="1" applyAlignment="1">
      <alignment vertical="center"/>
    </xf>
    <xf numFmtId="0" fontId="3" fillId="0" borderId="31" xfId="1146" applyBorder="1"/>
    <xf numFmtId="0" fontId="62" fillId="0" borderId="50" xfId="1146" applyFont="1" applyBorder="1" applyAlignment="1">
      <alignment vertical="center"/>
    </xf>
    <xf numFmtId="0" fontId="62" fillId="0" borderId="18" xfId="1146" applyFont="1" applyBorder="1" applyAlignment="1">
      <alignment horizontal="left" vertical="center" wrapText="1"/>
    </xf>
    <xf numFmtId="0" fontId="62" fillId="0" borderId="27" xfId="1146" applyFont="1" applyBorder="1" applyAlignment="1">
      <alignment vertical="center"/>
    </xf>
    <xf numFmtId="0" fontId="62" fillId="0" borderId="44" xfId="1146" applyFont="1" applyBorder="1" applyAlignment="1">
      <alignment vertical="center"/>
    </xf>
    <xf numFmtId="0" fontId="62" fillId="0" borderId="78" xfId="1146" applyFont="1" applyBorder="1" applyAlignment="1">
      <alignment vertical="center"/>
    </xf>
    <xf numFmtId="0" fontId="62" fillId="0" borderId="95" xfId="1146" applyFont="1" applyBorder="1" applyAlignment="1">
      <alignment vertical="center"/>
    </xf>
    <xf numFmtId="0" fontId="89" fillId="0" borderId="17" xfId="1146" applyFont="1" applyBorder="1" applyAlignment="1" applyProtection="1">
      <alignment horizontal="left" vertical="center" wrapText="1"/>
      <protection locked="0"/>
    </xf>
    <xf numFmtId="0" fontId="62" fillId="0" borderId="23" xfId="1146" applyFont="1" applyBorder="1" applyAlignment="1">
      <alignment vertical="center"/>
    </xf>
    <xf numFmtId="0" fontId="13" fillId="29" borderId="37" xfId="72" applyFont="1" applyFill="1" applyBorder="1" applyAlignment="1" applyProtection="1">
      <alignment horizontal="right" vertical="center"/>
    </xf>
    <xf numFmtId="0" fontId="62" fillId="0" borderId="24" xfId="1146" applyFont="1" applyBorder="1" applyAlignment="1">
      <alignment vertical="center"/>
    </xf>
    <xf numFmtId="0" fontId="89" fillId="0" borderId="26" xfId="1146" applyFont="1" applyBorder="1" applyAlignment="1">
      <alignment horizontal="left" vertical="center" wrapText="1"/>
    </xf>
    <xf numFmtId="0" fontId="64" fillId="0" borderId="0" xfId="72" applyFont="1" applyFill="1" applyBorder="1" applyAlignment="1" applyProtection="1">
      <alignment vertical="center"/>
    </xf>
    <xf numFmtId="0" fontId="62" fillId="0" borderId="48" xfId="1146" applyFont="1" applyBorder="1" applyAlignment="1">
      <alignment horizontal="left" vertical="center" wrapText="1"/>
    </xf>
    <xf numFmtId="0" fontId="62" fillId="0" borderId="14" xfId="1146" applyFont="1" applyBorder="1" applyAlignment="1">
      <alignment vertical="center"/>
    </xf>
    <xf numFmtId="0" fontId="62" fillId="0" borderId="0" xfId="1146" applyFont="1" applyAlignment="1">
      <alignment horizontal="left" vertical="center" wrapText="1"/>
    </xf>
    <xf numFmtId="0" fontId="61" fillId="0" borderId="25" xfId="1146" applyFont="1" applyBorder="1" applyAlignment="1">
      <alignment vertical="center"/>
    </xf>
    <xf numFmtId="0" fontId="61" fillId="0" borderId="14" xfId="1146" applyFont="1" applyBorder="1" applyAlignment="1">
      <alignment vertical="center"/>
    </xf>
    <xf numFmtId="0" fontId="51" fillId="27" borderId="91" xfId="146" applyFont="1" applyFill="1" applyBorder="1" applyAlignment="1" applyProtection="1">
      <alignment horizontal="left" vertical="center"/>
    </xf>
    <xf numFmtId="0" fontId="51" fillId="27" borderId="10" xfId="146" applyFont="1" applyFill="1" applyBorder="1" applyAlignment="1" applyProtection="1">
      <alignment horizontal="center" vertical="center"/>
    </xf>
    <xf numFmtId="0" fontId="51" fillId="27" borderId="45" xfId="146" applyFont="1" applyFill="1" applyBorder="1" applyAlignment="1" applyProtection="1">
      <alignment horizontal="left" vertical="center"/>
    </xf>
    <xf numFmtId="168" fontId="13" fillId="26" borderId="10" xfId="1147" applyNumberFormat="1" applyFont="1" applyFill="1" applyBorder="1" applyAlignment="1">
      <alignment horizontal="center" vertical="center"/>
    </xf>
    <xf numFmtId="0" fontId="13" fillId="26" borderId="10" xfId="1147" applyFont="1" applyFill="1" applyBorder="1" applyAlignment="1">
      <alignment horizontal="right" vertical="center"/>
    </xf>
    <xf numFmtId="0" fontId="63" fillId="0" borderId="0" xfId="1146" applyFont="1" applyAlignment="1">
      <alignment vertical="center"/>
    </xf>
    <xf numFmtId="168" fontId="13" fillId="26" borderId="10" xfId="1147" applyNumberFormat="1" applyFont="1" applyFill="1" applyBorder="1" applyAlignment="1">
      <alignment horizontal="right" vertical="center"/>
    </xf>
    <xf numFmtId="0" fontId="16" fillId="26" borderId="51" xfId="1146" applyFont="1" applyFill="1" applyBorder="1" applyAlignment="1">
      <alignment vertical="center"/>
    </xf>
    <xf numFmtId="1" fontId="17" fillId="26" borderId="54" xfId="1147" applyNumberFormat="1" applyFont="1" applyFill="1" applyBorder="1" applyAlignment="1">
      <alignment horizontal="center" vertical="center"/>
    </xf>
    <xf numFmtId="0" fontId="78" fillId="0" borderId="32" xfId="1146" applyFont="1" applyBorder="1" applyAlignment="1">
      <alignment vertical="center"/>
    </xf>
    <xf numFmtId="0" fontId="89" fillId="0" borderId="0" xfId="1146" applyFont="1" applyAlignment="1">
      <alignment vertical="center"/>
    </xf>
    <xf numFmtId="0" fontId="16" fillId="26" borderId="12" xfId="1146" applyFont="1" applyFill="1" applyBorder="1" applyAlignment="1">
      <alignment vertical="center"/>
    </xf>
    <xf numFmtId="1" fontId="17" fillId="26" borderId="12" xfId="1147" applyNumberFormat="1" applyFont="1" applyFill="1" applyBorder="1" applyAlignment="1">
      <alignment horizontal="center" vertical="center"/>
    </xf>
    <xf numFmtId="0" fontId="63" fillId="0" borderId="78" xfId="1146" applyFont="1" applyBorder="1" applyAlignment="1">
      <alignment vertical="center"/>
    </xf>
    <xf numFmtId="0" fontId="65" fillId="26" borderId="39" xfId="1146" applyFont="1" applyFill="1" applyBorder="1" applyAlignment="1">
      <alignment vertical="center"/>
    </xf>
    <xf numFmtId="1" fontId="17" fillId="26" borderId="38" xfId="1147" applyNumberFormat="1" applyFont="1" applyFill="1" applyBorder="1" applyAlignment="1">
      <alignment horizontal="center" vertical="center"/>
    </xf>
    <xf numFmtId="0" fontId="63" fillId="0" borderId="20" xfId="1146" applyFont="1" applyBorder="1" applyAlignment="1">
      <alignment vertical="center"/>
    </xf>
    <xf numFmtId="0" fontId="65" fillId="26" borderId="12" xfId="1146" applyFont="1" applyFill="1" applyBorder="1" applyAlignment="1">
      <alignment vertical="center"/>
    </xf>
    <xf numFmtId="0" fontId="63" fillId="0" borderId="14" xfId="1146" applyFont="1" applyBorder="1" applyAlignment="1">
      <alignment vertical="center"/>
    </xf>
    <xf numFmtId="1" fontId="17" fillId="26" borderId="89" xfId="1147" applyNumberFormat="1" applyFont="1" applyFill="1" applyBorder="1" applyAlignment="1">
      <alignment horizontal="center" vertical="center"/>
    </xf>
    <xf numFmtId="0" fontId="62" fillId="0" borderId="20" xfId="1146" applyFont="1" applyBorder="1" applyAlignment="1">
      <alignment vertical="center"/>
    </xf>
    <xf numFmtId="0" fontId="90" fillId="0" borderId="0" xfId="1146" applyFont="1"/>
    <xf numFmtId="0" fontId="61" fillId="0" borderId="0" xfId="1146" applyFont="1"/>
    <xf numFmtId="0" fontId="65" fillId="26" borderId="51" xfId="1146" applyFont="1" applyFill="1" applyBorder="1" applyAlignment="1">
      <alignment vertical="center"/>
    </xf>
    <xf numFmtId="0" fontId="62" fillId="0" borderId="13" xfId="1146" applyFont="1" applyBorder="1" applyAlignment="1">
      <alignment horizontal="center" vertical="center"/>
    </xf>
    <xf numFmtId="1" fontId="61" fillId="0" borderId="0" xfId="1146" applyNumberFormat="1" applyFont="1"/>
    <xf numFmtId="0" fontId="65" fillId="0" borderId="23" xfId="1148" applyFont="1" applyBorder="1" applyAlignment="1">
      <alignment vertical="center"/>
    </xf>
    <xf numFmtId="168" fontId="17" fillId="0" borderId="37" xfId="1149" applyNumberFormat="1" applyFont="1" applyBorder="1" applyAlignment="1">
      <alignment horizontal="center" vertical="center"/>
    </xf>
    <xf numFmtId="0" fontId="63" fillId="0" borderId="24" xfId="1148" applyFont="1" applyBorder="1" applyAlignment="1">
      <alignment horizontal="center" vertical="center"/>
    </xf>
    <xf numFmtId="0" fontId="61" fillId="0" borderId="17" xfId="1146" applyFont="1" applyBorder="1" applyAlignment="1" applyProtection="1">
      <alignment horizontal="left" vertical="center"/>
      <protection locked="0"/>
    </xf>
    <xf numFmtId="0" fontId="61" fillId="0" borderId="0" xfId="1148" applyFont="1"/>
    <xf numFmtId="0" fontId="61" fillId="37" borderId="0" xfId="1148" applyFont="1" applyFill="1"/>
    <xf numFmtId="168" fontId="61" fillId="37" borderId="0" xfId="1148" applyNumberFormat="1" applyFont="1" applyFill="1"/>
    <xf numFmtId="1" fontId="61" fillId="37" borderId="0" xfId="1148" applyNumberFormat="1" applyFont="1" applyFill="1"/>
    <xf numFmtId="0" fontId="61" fillId="37" borderId="0" xfId="1149" applyFont="1" applyFill="1"/>
    <xf numFmtId="0" fontId="61" fillId="37" borderId="10" xfId="1149" applyFont="1" applyFill="1" applyBorder="1" applyAlignment="1">
      <alignment horizontal="center" vertical="center"/>
    </xf>
    <xf numFmtId="0" fontId="61" fillId="37" borderId="0" xfId="1149" applyFont="1" applyFill="1" applyAlignment="1">
      <alignment horizontal="center" vertical="center"/>
    </xf>
    <xf numFmtId="1" fontId="61" fillId="37" borderId="10" xfId="1149" applyNumberFormat="1" applyFont="1" applyFill="1" applyBorder="1"/>
    <xf numFmtId="0" fontId="17" fillId="27" borderId="10" xfId="0" applyFont="1" applyFill="1" applyBorder="1" applyAlignment="1">
      <alignment horizontal="center" vertical="center" wrapText="1"/>
    </xf>
    <xf numFmtId="0" fontId="17" fillId="27" borderId="17" xfId="0" applyFont="1" applyFill="1" applyBorder="1" applyAlignment="1">
      <alignment horizontal="center" vertical="center"/>
    </xf>
    <xf numFmtId="165" fontId="17" fillId="27" borderId="10" xfId="0" applyNumberFormat="1" applyFont="1" applyFill="1" applyBorder="1" applyAlignment="1">
      <alignment horizontal="center" vertical="center"/>
    </xf>
    <xf numFmtId="0" fontId="16" fillId="0" borderId="34" xfId="0" applyFont="1" applyBorder="1" applyAlignment="1">
      <alignment horizontal="center" vertical="center"/>
    </xf>
    <xf numFmtId="165" fontId="16" fillId="0" borderId="86" xfId="0" applyNumberFormat="1" applyFont="1" applyBorder="1" applyAlignment="1">
      <alignment horizontal="center" vertical="center"/>
    </xf>
    <xf numFmtId="165" fontId="22" fillId="0" borderId="108" xfId="0" applyNumberFormat="1" applyFont="1" applyBorder="1" applyAlignment="1">
      <alignment horizontal="center" vertical="center"/>
    </xf>
    <xf numFmtId="0" fontId="13" fillId="0" borderId="0" xfId="0" applyFont="1" applyAlignment="1">
      <alignment horizontal="left" vertical="center" wrapText="1"/>
    </xf>
    <xf numFmtId="1" fontId="19" fillId="26" borderId="109" xfId="0" applyNumberFormat="1" applyFont="1" applyFill="1" applyBorder="1" applyAlignment="1" applyProtection="1">
      <alignment horizontal="center" vertical="center" wrapText="1"/>
      <protection locked="0"/>
    </xf>
    <xf numFmtId="0" fontId="10" fillId="0" borderId="109" xfId="145" applyBorder="1"/>
    <xf numFmtId="0" fontId="17" fillId="0" borderId="108" xfId="107" applyFont="1" applyBorder="1" applyAlignment="1">
      <alignment horizontal="center"/>
    </xf>
    <xf numFmtId="0" fontId="17" fillId="0" borderId="108" xfId="107" applyFont="1" applyBorder="1" applyAlignment="1">
      <alignment horizontal="left" vertical="center"/>
    </xf>
    <xf numFmtId="0" fontId="13" fillId="0" borderId="108" xfId="107" applyBorder="1"/>
    <xf numFmtId="0" fontId="17" fillId="0" borderId="108" xfId="107" applyFont="1" applyBorder="1" applyAlignment="1">
      <alignment horizontal="left"/>
    </xf>
    <xf numFmtId="0" fontId="13" fillId="0" borderId="108" xfId="107" applyBorder="1" applyAlignment="1">
      <alignment horizontal="center"/>
    </xf>
    <xf numFmtId="0" fontId="65" fillId="0" borderId="15" xfId="1151" applyFont="1" applyBorder="1" applyAlignment="1">
      <alignment vertical="center"/>
    </xf>
    <xf numFmtId="0" fontId="65" fillId="0" borderId="71" xfId="1151" applyFont="1" applyBorder="1" applyAlignment="1">
      <alignment horizontal="center" vertical="center"/>
    </xf>
    <xf numFmtId="0" fontId="65" fillId="0" borderId="72" xfId="1151" applyFont="1" applyBorder="1" applyAlignment="1">
      <alignment horizontal="center" vertical="center"/>
    </xf>
    <xf numFmtId="0" fontId="65" fillId="0" borderId="17" xfId="1151" applyFont="1" applyBorder="1" applyAlignment="1">
      <alignment vertical="center"/>
    </xf>
    <xf numFmtId="1" fontId="17" fillId="0" borderId="10" xfId="1152" applyNumberFormat="1" applyFont="1" applyBorder="1" applyAlignment="1">
      <alignment horizontal="center" vertical="center"/>
    </xf>
    <xf numFmtId="0" fontId="63" fillId="0" borderId="22" xfId="1151" applyFont="1" applyBorder="1" applyAlignment="1">
      <alignment horizontal="center" vertical="center"/>
    </xf>
    <xf numFmtId="0" fontId="23" fillId="0" borderId="11" xfId="1153" applyFont="1" applyBorder="1" applyAlignment="1">
      <alignment vertical="center" wrapText="1"/>
    </xf>
    <xf numFmtId="1" fontId="46" fillId="30" borderId="44" xfId="107" applyNumberFormat="1" applyFont="1" applyFill="1" applyBorder="1" applyAlignment="1" applyProtection="1">
      <alignment horizontal="center" vertical="center"/>
      <protection locked="0"/>
    </xf>
    <xf numFmtId="0" fontId="13" fillId="0" borderId="108" xfId="0" applyFont="1" applyBorder="1" applyAlignment="1">
      <alignment horizontal="center" vertical="center" wrapText="1"/>
    </xf>
    <xf numFmtId="0" fontId="13" fillId="0" borderId="19" xfId="0" applyFont="1" applyBorder="1" applyAlignment="1" applyProtection="1">
      <alignment vertical="center"/>
      <protection locked="0"/>
    </xf>
    <xf numFmtId="0" fontId="13" fillId="0" borderId="0" xfId="1153" applyAlignment="1">
      <alignment wrapText="1"/>
    </xf>
    <xf numFmtId="0" fontId="13" fillId="0" borderId="0" xfId="1153" applyAlignment="1" applyProtection="1">
      <alignment vertical="center" wrapText="1"/>
      <protection locked="0"/>
    </xf>
    <xf numFmtId="0" fontId="13" fillId="0" borderId="0" xfId="1153" applyAlignment="1">
      <alignment horizontal="center" wrapText="1"/>
    </xf>
    <xf numFmtId="0" fontId="65" fillId="40" borderId="15" xfId="1148" applyFont="1" applyFill="1" applyBorder="1" applyAlignment="1">
      <alignment vertical="center"/>
    </xf>
    <xf numFmtId="0" fontId="65" fillId="40" borderId="71" xfId="1148" applyFont="1" applyFill="1" applyBorder="1" applyAlignment="1">
      <alignment horizontal="center" vertical="center"/>
    </xf>
    <xf numFmtId="0" fontId="65" fillId="40" borderId="72" xfId="1148" applyFont="1" applyFill="1" applyBorder="1" applyAlignment="1">
      <alignment horizontal="center" vertical="center"/>
    </xf>
    <xf numFmtId="0" fontId="65" fillId="40" borderId="17" xfId="1148" applyFont="1" applyFill="1" applyBorder="1" applyAlignment="1">
      <alignment vertical="center"/>
    </xf>
    <xf numFmtId="168" fontId="17" fillId="40" borderId="10" xfId="1149" applyNumberFormat="1" applyFont="1" applyFill="1" applyBorder="1" applyAlignment="1">
      <alignment horizontal="center" vertical="center"/>
    </xf>
    <xf numFmtId="0" fontId="63" fillId="40" borderId="22" xfId="1148" applyFont="1" applyFill="1" applyBorder="1" applyAlignment="1">
      <alignment horizontal="center" vertical="center"/>
    </xf>
    <xf numFmtId="1" fontId="61" fillId="37" borderId="0" xfId="1149" applyNumberFormat="1" applyFont="1" applyFill="1"/>
    <xf numFmtId="1" fontId="61" fillId="37" borderId="10" xfId="1148" applyNumberFormat="1" applyFont="1" applyFill="1" applyBorder="1"/>
    <xf numFmtId="0" fontId="55" fillId="0" borderId="0" xfId="0" applyFont="1" applyAlignment="1">
      <alignment horizontal="center" vertical="center" wrapText="1"/>
    </xf>
    <xf numFmtId="0" fontId="65" fillId="0" borderId="10" xfId="0" applyFont="1" applyBorder="1" applyAlignment="1">
      <alignment vertical="center" wrapText="1"/>
    </xf>
    <xf numFmtId="0" fontId="16" fillId="0" borderId="41" xfId="0" applyFont="1" applyBorder="1" applyAlignment="1">
      <alignment vertical="center" wrapText="1"/>
    </xf>
    <xf numFmtId="0" fontId="13" fillId="0" borderId="10" xfId="0" applyFont="1" applyBorder="1" applyAlignment="1" applyProtection="1">
      <alignment horizontal="center" vertical="center" wrapText="1"/>
      <protection locked="0"/>
    </xf>
    <xf numFmtId="0" fontId="13" fillId="0" borderId="10" xfId="107" applyBorder="1" applyAlignment="1" applyProtection="1">
      <alignment horizontal="center" vertical="center" wrapText="1"/>
      <protection locked="0"/>
    </xf>
    <xf numFmtId="0" fontId="13" fillId="0" borderId="30" xfId="107" applyBorder="1" applyAlignment="1" applyProtection="1">
      <alignment horizontal="center" vertical="center" wrapText="1"/>
      <protection locked="0"/>
    </xf>
    <xf numFmtId="0" fontId="13" fillId="0" borderId="46" xfId="107" applyBorder="1" applyAlignment="1" applyProtection="1">
      <alignment horizontal="center" vertical="center" wrapText="1"/>
      <protection locked="0"/>
    </xf>
    <xf numFmtId="0" fontId="13" fillId="0" borderId="11" xfId="1153" applyBorder="1" applyAlignment="1">
      <alignment vertical="center" wrapText="1"/>
    </xf>
    <xf numFmtId="0" fontId="62" fillId="0" borderId="0" xfId="0" applyFont="1" applyAlignment="1">
      <alignment wrapText="1"/>
    </xf>
    <xf numFmtId="0" fontId="13" fillId="0" borderId="10" xfId="1153" applyBorder="1" applyAlignment="1" applyProtection="1">
      <alignment horizontal="center" vertical="center" wrapText="1"/>
      <protection locked="0"/>
    </xf>
    <xf numFmtId="0" fontId="17" fillId="0" borderId="0" xfId="0" applyFont="1" applyAlignment="1">
      <alignment horizontal="center" vertical="center" wrapText="1"/>
    </xf>
    <xf numFmtId="0" fontId="68" fillId="26" borderId="93" xfId="145" applyFont="1" applyFill="1" applyBorder="1" applyAlignment="1">
      <alignment vertical="center"/>
    </xf>
    <xf numFmtId="0" fontId="68" fillId="26" borderId="96" xfId="145" applyFont="1" applyFill="1" applyBorder="1" applyAlignment="1">
      <alignment vertical="center"/>
    </xf>
    <xf numFmtId="0" fontId="65" fillId="35" borderId="91" xfId="108" applyFont="1" applyFill="1" applyBorder="1" applyAlignment="1">
      <alignment vertical="center"/>
    </xf>
    <xf numFmtId="0" fontId="65" fillId="35" borderId="46" xfId="108" applyFont="1" applyFill="1" applyBorder="1" applyAlignment="1">
      <alignment vertical="center"/>
    </xf>
    <xf numFmtId="0" fontId="51" fillId="26" borderId="93" xfId="107" applyFont="1" applyFill="1" applyBorder="1" applyAlignment="1">
      <alignment vertical="center" wrapText="1"/>
    </xf>
    <xf numFmtId="0" fontId="51" fillId="26" borderId="96" xfId="107" applyFont="1" applyFill="1" applyBorder="1" applyAlignment="1">
      <alignment vertical="center" wrapText="1"/>
    </xf>
    <xf numFmtId="0" fontId="68" fillId="26" borderId="29" xfId="145" applyFont="1" applyFill="1" applyBorder="1" applyAlignment="1">
      <alignment horizontal="left" vertical="center"/>
    </xf>
    <xf numFmtId="0" fontId="52" fillId="26" borderId="96" xfId="0" applyFont="1" applyFill="1" applyBorder="1" applyAlignment="1">
      <alignment horizontal="left" vertical="center"/>
    </xf>
    <xf numFmtId="0" fontId="61" fillId="0" borderId="10" xfId="145" applyFont="1" applyBorder="1" applyAlignment="1" applyProtection="1">
      <alignment horizontal="center" vertical="center"/>
      <protection locked="0"/>
    </xf>
    <xf numFmtId="0" fontId="13" fillId="0" borderId="10" xfId="145" applyFont="1" applyBorder="1" applyAlignment="1" applyProtection="1">
      <alignment horizontal="center" vertical="center" wrapText="1"/>
      <protection locked="0"/>
    </xf>
    <xf numFmtId="0" fontId="13" fillId="0" borderId="10" xfId="145" applyFont="1" applyBorder="1" applyAlignment="1" applyProtection="1">
      <alignment horizontal="center" vertical="center"/>
      <protection locked="0"/>
    </xf>
    <xf numFmtId="0" fontId="47" fillId="0" borderId="12" xfId="0" applyFont="1" applyBorder="1" applyAlignment="1" applyProtection="1">
      <alignment vertical="center"/>
      <protection locked="0"/>
    </xf>
    <xf numFmtId="166" fontId="46" fillId="32" borderId="110" xfId="0" applyNumberFormat="1" applyFont="1" applyFill="1" applyBorder="1" applyAlignment="1">
      <alignment horizontal="center" vertical="center" wrapText="1"/>
    </xf>
    <xf numFmtId="1" fontId="46" fillId="32" borderId="111" xfId="0" applyNumberFormat="1" applyFont="1" applyFill="1" applyBorder="1" applyAlignment="1">
      <alignment horizontal="center" vertical="center" wrapText="1"/>
    </xf>
    <xf numFmtId="167" fontId="16" fillId="0" borderId="11" xfId="86" applyNumberFormat="1" applyFont="1" applyBorder="1" applyAlignment="1" applyProtection="1">
      <alignment horizontal="center" vertical="center" wrapText="1"/>
    </xf>
    <xf numFmtId="167" fontId="16" fillId="0" borderId="75" xfId="86" applyNumberFormat="1" applyFont="1" applyBorder="1" applyAlignment="1" applyProtection="1">
      <alignment horizontal="center" vertical="center" wrapText="1"/>
    </xf>
    <xf numFmtId="1" fontId="46" fillId="30" borderId="111" xfId="107" applyNumberFormat="1" applyFont="1" applyFill="1" applyBorder="1" applyAlignment="1">
      <alignment horizontal="center" vertical="center"/>
    </xf>
    <xf numFmtId="1" fontId="17" fillId="26" borderId="50" xfId="0" applyNumberFormat="1" applyFont="1" applyFill="1" applyBorder="1" applyAlignment="1">
      <alignment horizontal="center" vertical="center" wrapText="1"/>
    </xf>
    <xf numFmtId="0" fontId="17" fillId="29" borderId="22" xfId="71" applyFont="1" applyFill="1" applyBorder="1" applyAlignment="1" applyProtection="1">
      <alignment horizontal="center" vertical="center"/>
      <protection locked="0"/>
    </xf>
    <xf numFmtId="0" fontId="16" fillId="0" borderId="37" xfId="0" applyFont="1" applyBorder="1" applyAlignment="1">
      <alignment vertical="center"/>
    </xf>
    <xf numFmtId="0" fontId="13" fillId="0" borderId="27" xfId="107" applyBorder="1" applyAlignment="1" applyProtection="1">
      <alignment horizontal="left" vertical="center" wrapText="1"/>
      <protection locked="0"/>
    </xf>
    <xf numFmtId="0" fontId="16" fillId="28" borderId="64" xfId="1153" applyFont="1" applyFill="1" applyBorder="1" applyAlignment="1">
      <alignment horizontal="center" vertical="center" wrapText="1"/>
    </xf>
    <xf numFmtId="0" fontId="13" fillId="29" borderId="72" xfId="1153" applyFill="1" applyBorder="1" applyAlignment="1">
      <alignment horizontal="center" vertical="center" wrapText="1"/>
    </xf>
    <xf numFmtId="0" fontId="16" fillId="28" borderId="93" xfId="1153" applyFont="1" applyFill="1" applyBorder="1" applyAlignment="1">
      <alignment horizontal="center" vertical="center" wrapText="1"/>
    </xf>
    <xf numFmtId="0" fontId="13" fillId="29" borderId="24" xfId="1153" applyFill="1" applyBorder="1" applyAlignment="1">
      <alignment horizontal="center" vertical="center" wrapText="1"/>
    </xf>
    <xf numFmtId="0" fontId="16" fillId="28" borderId="12" xfId="1153" applyFont="1" applyFill="1" applyBorder="1" applyAlignment="1">
      <alignment horizontal="center" vertical="center" wrapText="1"/>
    </xf>
    <xf numFmtId="9" fontId="16" fillId="26" borderId="54" xfId="1153" applyNumberFormat="1" applyFont="1" applyFill="1" applyBorder="1" applyAlignment="1">
      <alignment horizontal="center" vertical="center" wrapText="1"/>
    </xf>
    <xf numFmtId="168" fontId="82" fillId="29" borderId="31" xfId="71" applyNumberFormat="1" applyFont="1" applyFill="1" applyBorder="1" applyAlignment="1" applyProtection="1">
      <alignment horizontal="center" vertical="center"/>
      <protection locked="0"/>
    </xf>
    <xf numFmtId="1" fontId="17" fillId="39" borderId="10" xfId="1152" applyNumberFormat="1" applyFont="1" applyFill="1" applyBorder="1" applyAlignment="1">
      <alignment horizontal="center" vertical="center"/>
    </xf>
    <xf numFmtId="0" fontId="95" fillId="39" borderId="22" xfId="1151" applyFont="1" applyFill="1" applyBorder="1" applyAlignment="1">
      <alignment horizontal="center" vertical="center"/>
    </xf>
    <xf numFmtId="0" fontId="17" fillId="26" borderId="12" xfId="107" applyFont="1" applyFill="1" applyBorder="1" applyAlignment="1">
      <alignment vertical="center"/>
    </xf>
    <xf numFmtId="1" fontId="17" fillId="26" borderId="32" xfId="107" applyNumberFormat="1" applyFont="1" applyFill="1" applyBorder="1" applyAlignment="1">
      <alignment horizontal="center" vertical="center"/>
    </xf>
    <xf numFmtId="0" fontId="17" fillId="26" borderId="97" xfId="107" applyFont="1" applyFill="1" applyBorder="1" applyAlignment="1">
      <alignment vertical="center"/>
    </xf>
    <xf numFmtId="1" fontId="17" fillId="26" borderId="12" xfId="107" applyNumberFormat="1" applyFont="1" applyFill="1" applyBorder="1" applyAlignment="1">
      <alignment horizontal="center" vertical="center"/>
    </xf>
    <xf numFmtId="1" fontId="17" fillId="26" borderId="13" xfId="107" applyNumberFormat="1" applyFont="1" applyFill="1" applyBorder="1" applyAlignment="1">
      <alignment horizontal="center" vertical="center"/>
    </xf>
    <xf numFmtId="0" fontId="13" fillId="27" borderId="28" xfId="107" applyFill="1" applyBorder="1" applyAlignment="1">
      <alignment horizontal="center" vertical="center" wrapText="1"/>
    </xf>
    <xf numFmtId="0" fontId="13" fillId="37" borderId="31" xfId="71" applyFont="1" applyFill="1" applyBorder="1" applyAlignment="1" applyProtection="1">
      <alignment horizontal="center" vertical="center" wrapText="1"/>
      <protection locked="0"/>
    </xf>
    <xf numFmtId="0" fontId="13" fillId="27" borderId="10" xfId="107" applyFill="1" applyBorder="1" applyAlignment="1">
      <alignment vertical="center" wrapText="1"/>
    </xf>
    <xf numFmtId="0" fontId="13" fillId="27" borderId="22" xfId="107" applyFill="1" applyBorder="1" applyAlignment="1">
      <alignment horizontal="center" vertical="center" wrapText="1"/>
    </xf>
    <xf numFmtId="0" fontId="0" fillId="35" borderId="53" xfId="0" applyFill="1" applyBorder="1" applyAlignment="1">
      <alignment vertical="center" wrapText="1"/>
    </xf>
    <xf numFmtId="0" fontId="0" fillId="35" borderId="55" xfId="0" applyFill="1" applyBorder="1" applyAlignment="1">
      <alignment vertical="center" wrapText="1"/>
    </xf>
    <xf numFmtId="0" fontId="13" fillId="29" borderId="18" xfId="71" applyFont="1" applyFill="1" applyBorder="1" applyAlignment="1" applyProtection="1">
      <alignment horizontal="center" vertical="center"/>
      <protection locked="0"/>
    </xf>
    <xf numFmtId="0" fontId="0" fillId="29" borderId="20" xfId="0" applyFill="1" applyBorder="1" applyAlignment="1" applyProtection="1">
      <alignment horizontal="center" vertical="center"/>
      <protection locked="0"/>
    </xf>
    <xf numFmtId="0" fontId="13" fillId="29" borderId="18" xfId="0" applyFont="1" applyFill="1" applyBorder="1" applyAlignment="1" applyProtection="1">
      <alignment horizontal="center" vertical="center"/>
      <protection locked="0"/>
    </xf>
    <xf numFmtId="0" fontId="13" fillId="0" borderId="0" xfId="107" applyAlignment="1">
      <alignment horizontal="center" vertical="center" wrapText="1"/>
    </xf>
    <xf numFmtId="0" fontId="62" fillId="0" borderId="0" xfId="1144" applyAlignment="1">
      <alignment horizontal="center" vertical="center"/>
    </xf>
    <xf numFmtId="0" fontId="13" fillId="0" borderId="16" xfId="107" applyBorder="1" applyAlignment="1">
      <alignment horizontal="center" vertical="center" wrapText="1"/>
    </xf>
    <xf numFmtId="0" fontId="13" fillId="0" borderId="29" xfId="107" applyBorder="1" applyAlignment="1">
      <alignment horizontal="center" vertical="center" wrapText="1"/>
    </xf>
    <xf numFmtId="0" fontId="13" fillId="29" borderId="42" xfId="71" applyFont="1" applyFill="1" applyBorder="1" applyAlignment="1" applyProtection="1">
      <alignment horizontal="center" vertical="center" wrapText="1"/>
      <protection locked="0"/>
    </xf>
    <xf numFmtId="0" fontId="22" fillId="0" borderId="0" xfId="0" applyFont="1" applyAlignment="1">
      <alignment horizontal="left" vertical="center"/>
    </xf>
    <xf numFmtId="0" fontId="16" fillId="0" borderId="0" xfId="0" applyFont="1" applyAlignment="1">
      <alignment horizontal="center" vertical="center" wrapText="1"/>
    </xf>
    <xf numFmtId="0" fontId="17" fillId="27" borderId="110" xfId="107" applyFont="1" applyFill="1" applyBorder="1" applyAlignment="1">
      <alignment vertical="center" wrapText="1"/>
    </xf>
    <xf numFmtId="0" fontId="17" fillId="27" borderId="12" xfId="71" applyFont="1" applyFill="1" applyBorder="1" applyAlignment="1" applyProtection="1">
      <alignment horizontal="center" vertical="center"/>
    </xf>
    <xf numFmtId="0" fontId="13" fillId="0" borderId="10" xfId="107" applyBorder="1" applyAlignment="1">
      <alignment horizontal="center" vertical="center"/>
    </xf>
    <xf numFmtId="0" fontId="13" fillId="0" borderId="20" xfId="107" applyBorder="1" applyAlignment="1" applyProtection="1">
      <alignment horizontal="center" vertical="center"/>
      <protection locked="0"/>
    </xf>
    <xf numFmtId="0" fontId="13" fillId="0" borderId="0" xfId="107" applyAlignment="1" applyProtection="1">
      <alignment horizontal="center" vertical="center"/>
      <protection locked="0"/>
    </xf>
    <xf numFmtId="0" fontId="13" fillId="0" borderId="116" xfId="107" applyBorder="1" applyAlignment="1">
      <alignment vertical="center" wrapText="1"/>
    </xf>
    <xf numFmtId="0" fontId="0" fillId="29" borderId="31" xfId="0" applyFill="1" applyBorder="1" applyAlignment="1" applyProtection="1">
      <alignment horizontal="center" vertical="center"/>
      <protection locked="0"/>
    </xf>
    <xf numFmtId="0" fontId="17" fillId="35" borderId="15" xfId="107" applyFont="1" applyFill="1" applyBorder="1" applyAlignment="1">
      <alignment vertical="center" wrapText="1"/>
    </xf>
    <xf numFmtId="0" fontId="16" fillId="35" borderId="71" xfId="107" applyFont="1" applyFill="1" applyBorder="1" applyAlignment="1">
      <alignment vertical="center"/>
    </xf>
    <xf numFmtId="0" fontId="16" fillId="35" borderId="72" xfId="107" applyFont="1" applyFill="1" applyBorder="1" applyAlignment="1">
      <alignment vertical="center"/>
    </xf>
    <xf numFmtId="0" fontId="13" fillId="0" borderId="31" xfId="71" applyFont="1" applyFill="1" applyBorder="1" applyAlignment="1" applyProtection="1">
      <alignment horizontal="center" vertical="center"/>
      <protection locked="0"/>
    </xf>
    <xf numFmtId="0" fontId="13" fillId="0" borderId="0" xfId="107" applyAlignment="1" applyProtection="1">
      <alignment horizontal="center" vertical="center" wrapText="1"/>
      <protection locked="0"/>
    </xf>
    <xf numFmtId="0" fontId="13" fillId="0" borderId="10" xfId="107" applyBorder="1" applyAlignment="1">
      <alignment horizontal="center" vertical="center" wrapText="1"/>
    </xf>
    <xf numFmtId="0" fontId="16" fillId="0" borderId="31" xfId="107" applyFont="1" applyBorder="1" applyAlignment="1">
      <alignment horizontal="center" vertical="center" wrapText="1"/>
    </xf>
    <xf numFmtId="0" fontId="13" fillId="0" borderId="34" xfId="107" applyBorder="1" applyAlignment="1">
      <alignment vertical="center" wrapText="1"/>
    </xf>
    <xf numFmtId="0" fontId="86" fillId="26" borderId="97" xfId="107" applyFont="1" applyFill="1" applyBorder="1" applyAlignment="1">
      <alignment vertical="center" wrapText="1"/>
    </xf>
    <xf numFmtId="0" fontId="86" fillId="26" borderId="108" xfId="107" applyFont="1" applyFill="1" applyBorder="1" applyAlignment="1">
      <alignment vertical="center" wrapText="1"/>
    </xf>
    <xf numFmtId="0" fontId="13" fillId="26" borderId="108" xfId="107" applyFill="1" applyBorder="1"/>
    <xf numFmtId="0" fontId="28" fillId="26" borderId="12" xfId="107" applyFont="1" applyFill="1" applyBorder="1" applyAlignment="1">
      <alignment horizontal="center" vertical="center" wrapText="1"/>
    </xf>
    <xf numFmtId="0" fontId="17" fillId="27" borderId="110" xfId="107" applyFont="1" applyFill="1" applyBorder="1" applyAlignment="1">
      <alignment horizontal="center" vertical="center" wrapText="1"/>
    </xf>
    <xf numFmtId="0" fontId="17" fillId="27" borderId="12" xfId="107" applyFont="1" applyFill="1" applyBorder="1" applyAlignment="1">
      <alignment horizontal="center" vertical="center" wrapText="1"/>
    </xf>
    <xf numFmtId="0" fontId="13" fillId="0" borderId="72" xfId="107" applyBorder="1" applyAlignment="1">
      <alignment horizontal="center" vertical="center" wrapText="1"/>
    </xf>
    <xf numFmtId="0" fontId="17" fillId="0" borderId="17" xfId="107" applyFont="1" applyBorder="1" applyAlignment="1">
      <alignment horizontal="left" vertical="center" wrapText="1"/>
    </xf>
    <xf numFmtId="0" fontId="13" fillId="29" borderId="20" xfId="71" applyFont="1" applyFill="1" applyBorder="1" applyAlignment="1" applyProtection="1">
      <alignment horizontal="center" vertical="center" wrapText="1"/>
    </xf>
    <xf numFmtId="0" fontId="13" fillId="0" borderId="0" xfId="1153" applyAlignment="1" applyProtection="1">
      <alignment horizontal="center" vertical="center" wrapText="1"/>
      <protection locked="0"/>
    </xf>
    <xf numFmtId="0" fontId="17" fillId="0" borderId="87" xfId="1153" applyFont="1" applyBorder="1" applyAlignment="1">
      <alignment horizontal="left" vertical="center" wrapText="1"/>
    </xf>
    <xf numFmtId="0" fontId="13" fillId="0" borderId="77" xfId="0" applyFont="1" applyBorder="1" applyAlignment="1">
      <alignment horizontal="center" vertical="center" wrapText="1"/>
    </xf>
    <xf numFmtId="0" fontId="13" fillId="41" borderId="22" xfId="107" applyFill="1" applyBorder="1" applyAlignment="1">
      <alignment horizontal="center" vertical="center" wrapText="1"/>
    </xf>
    <xf numFmtId="0" fontId="13" fillId="41" borderId="24" xfId="107" applyFill="1" applyBorder="1" applyAlignment="1">
      <alignment horizontal="center" vertical="center" wrapText="1"/>
    </xf>
    <xf numFmtId="0" fontId="17" fillId="26" borderId="12" xfId="107" applyFont="1" applyFill="1" applyBorder="1" applyAlignment="1">
      <alignment horizontal="center" vertical="center" wrapText="1"/>
    </xf>
    <xf numFmtId="0" fontId="16" fillId="0" borderId="0" xfId="107" applyFont="1" applyAlignment="1">
      <alignment horizontal="center" vertical="center" wrapText="1"/>
    </xf>
    <xf numFmtId="164" fontId="13" fillId="0" borderId="0" xfId="1153" applyNumberFormat="1" applyAlignment="1">
      <alignment horizontal="center" vertical="center" wrapText="1"/>
    </xf>
    <xf numFmtId="0" fontId="17" fillId="27" borderId="39" xfId="107" applyFont="1" applyFill="1" applyBorder="1" applyAlignment="1">
      <alignment vertical="center" wrapText="1"/>
    </xf>
    <xf numFmtId="0" fontId="17" fillId="27" borderId="118" xfId="107" applyFont="1" applyFill="1" applyBorder="1" applyAlignment="1">
      <alignment horizontal="center" vertical="center" wrapText="1"/>
    </xf>
    <xf numFmtId="0" fontId="13" fillId="29" borderId="58" xfId="71" applyFont="1" applyFill="1" applyBorder="1" applyAlignment="1" applyProtection="1">
      <alignment horizontal="center" vertical="center" wrapText="1"/>
      <protection locked="0"/>
    </xf>
    <xf numFmtId="0" fontId="13" fillId="29" borderId="26" xfId="71" applyFont="1" applyFill="1" applyBorder="1" applyAlignment="1" applyProtection="1">
      <alignment horizontal="center" vertical="center" wrapText="1"/>
      <protection locked="0"/>
    </xf>
    <xf numFmtId="0" fontId="13" fillId="0" borderId="16" xfId="1153" applyBorder="1" applyAlignment="1">
      <alignment horizontal="center" vertical="center" wrapText="1"/>
    </xf>
    <xf numFmtId="0" fontId="13" fillId="0" borderId="29" xfId="1153" applyBorder="1" applyAlignment="1">
      <alignment horizontal="center" vertical="center" wrapText="1"/>
    </xf>
    <xf numFmtId="0" fontId="13" fillId="29" borderId="13" xfId="71" applyFont="1" applyFill="1" applyBorder="1" applyAlignment="1" applyProtection="1">
      <alignment horizontal="center" vertical="center" wrapText="1"/>
      <protection locked="0"/>
    </xf>
    <xf numFmtId="0" fontId="17" fillId="26" borderId="39" xfId="107" applyFont="1" applyFill="1" applyBorder="1"/>
    <xf numFmtId="0" fontId="17" fillId="26" borderId="47" xfId="107" applyFont="1" applyFill="1" applyBorder="1"/>
    <xf numFmtId="0" fontId="17" fillId="26" borderId="47" xfId="107" applyFont="1" applyFill="1" applyBorder="1" applyAlignment="1">
      <alignment vertical="center"/>
    </xf>
    <xf numFmtId="0" fontId="17" fillId="26" borderId="47" xfId="107" applyFont="1" applyFill="1" applyBorder="1" applyAlignment="1">
      <alignment horizontal="center"/>
    </xf>
    <xf numFmtId="0" fontId="17" fillId="26" borderId="12" xfId="107" applyFont="1" applyFill="1" applyBorder="1" applyAlignment="1">
      <alignment horizontal="center"/>
    </xf>
    <xf numFmtId="0" fontId="17" fillId="0" borderId="87" xfId="107" applyFont="1" applyBorder="1" applyAlignment="1">
      <alignment horizontal="left" vertical="center" wrapText="1"/>
    </xf>
    <xf numFmtId="0" fontId="13" fillId="0" borderId="42" xfId="107" applyBorder="1" applyAlignment="1">
      <alignment horizontal="center" vertical="center"/>
    </xf>
    <xf numFmtId="0" fontId="16" fillId="0" borderId="10" xfId="0" applyFont="1" applyBorder="1" applyAlignment="1">
      <alignment horizontal="center" vertical="center"/>
    </xf>
    <xf numFmtId="0" fontId="16" fillId="0" borderId="86" xfId="0" applyFont="1" applyBorder="1" applyAlignment="1">
      <alignment horizontal="center" vertical="center"/>
    </xf>
    <xf numFmtId="0" fontId="16" fillId="0" borderId="86" xfId="0" applyFont="1" applyBorder="1" applyAlignment="1">
      <alignment horizontal="center" vertical="center" wrapText="1"/>
    </xf>
    <xf numFmtId="0" fontId="17" fillId="27" borderId="15" xfId="107" applyFont="1" applyFill="1" applyBorder="1" applyAlignment="1">
      <alignment vertical="center" wrapText="1"/>
    </xf>
    <xf numFmtId="0" fontId="17" fillId="27" borderId="71" xfId="107" applyFont="1" applyFill="1" applyBorder="1" applyAlignment="1">
      <alignment vertical="center" wrapText="1"/>
    </xf>
    <xf numFmtId="0" fontId="17" fillId="27" borderId="16" xfId="107" applyFont="1" applyFill="1" applyBorder="1" applyAlignment="1">
      <alignment horizontal="center" vertical="center" wrapText="1"/>
    </xf>
    <xf numFmtId="0" fontId="17" fillId="0" borderId="27" xfId="107" applyFont="1" applyBorder="1" applyAlignment="1">
      <alignment horizontal="left" vertical="center" wrapText="1"/>
    </xf>
    <xf numFmtId="0" fontId="14" fillId="27" borderId="118" xfId="107" applyFont="1" applyFill="1" applyBorder="1" applyAlignment="1">
      <alignment horizontal="center" vertical="center" wrapText="1"/>
    </xf>
    <xf numFmtId="0" fontId="14" fillId="0" borderId="18" xfId="107" applyFont="1" applyBorder="1" applyAlignment="1">
      <alignment horizontal="center" vertical="center"/>
    </xf>
    <xf numFmtId="0" fontId="13" fillId="0" borderId="28" xfId="107" applyBorder="1" applyAlignment="1">
      <alignment horizontal="left" vertical="center" wrapText="1"/>
    </xf>
    <xf numFmtId="0" fontId="13" fillId="0" borderId="37" xfId="0" applyFont="1" applyBorder="1" applyAlignment="1">
      <alignment horizontal="left" vertical="center" wrapText="1"/>
    </xf>
    <xf numFmtId="0" fontId="13" fillId="0" borderId="92" xfId="107" applyBorder="1" applyAlignment="1">
      <alignment horizontal="center" vertical="center" wrapText="1"/>
    </xf>
    <xf numFmtId="0" fontId="52" fillId="27" borderId="120" xfId="0" applyFont="1" applyFill="1" applyBorder="1" applyAlignment="1">
      <alignment vertical="center" wrapText="1"/>
    </xf>
    <xf numFmtId="0" fontId="14" fillId="0" borderId="31" xfId="107" applyFont="1" applyBorder="1" applyAlignment="1">
      <alignment horizontal="center" vertical="center"/>
    </xf>
    <xf numFmtId="0" fontId="14" fillId="0" borderId="53" xfId="0" applyFont="1" applyBorder="1" applyAlignment="1">
      <alignment horizontal="center" vertical="center" wrapText="1"/>
    </xf>
    <xf numFmtId="0" fontId="14" fillId="0" borderId="75" xfId="0" applyFont="1" applyBorder="1" applyAlignment="1">
      <alignment horizontal="center" vertical="center" wrapText="1"/>
    </xf>
    <xf numFmtId="0" fontId="17" fillId="0" borderId="34" xfId="107" applyFont="1" applyBorder="1" applyAlignment="1">
      <alignment horizontal="left" vertical="center" wrapText="1"/>
    </xf>
    <xf numFmtId="0" fontId="13" fillId="29" borderId="26" xfId="0" applyFont="1" applyFill="1" applyBorder="1" applyAlignment="1" applyProtection="1">
      <alignment horizontal="center" vertical="center"/>
      <protection locked="0"/>
    </xf>
    <xf numFmtId="0" fontId="17" fillId="26" borderId="13" xfId="107" applyFont="1" applyFill="1" applyBorder="1" applyAlignment="1">
      <alignment horizontal="center" vertical="center" wrapText="1"/>
    </xf>
    <xf numFmtId="0" fontId="14" fillId="0" borderId="0" xfId="107" applyFont="1" applyAlignment="1">
      <alignment horizontal="center" vertical="center" wrapText="1"/>
    </xf>
    <xf numFmtId="0" fontId="13" fillId="0" borderId="36" xfId="107" applyBorder="1" applyAlignment="1">
      <alignment horizontal="center" vertical="center"/>
    </xf>
    <xf numFmtId="0" fontId="28" fillId="27" borderId="15" xfId="107" applyFont="1" applyFill="1" applyBorder="1" applyAlignment="1">
      <alignment vertical="center" wrapText="1"/>
    </xf>
    <xf numFmtId="0" fontId="28" fillId="27" borderId="16" xfId="107" applyFont="1" applyFill="1" applyBorder="1" applyAlignment="1">
      <alignment vertical="center" wrapText="1"/>
    </xf>
    <xf numFmtId="0" fontId="28" fillId="27" borderId="16" xfId="107" applyFont="1" applyFill="1" applyBorder="1" applyAlignment="1">
      <alignment horizontal="center" vertical="center" wrapText="1"/>
    </xf>
    <xf numFmtId="0" fontId="28" fillId="27" borderId="12" xfId="107" applyFont="1" applyFill="1" applyBorder="1" applyAlignment="1">
      <alignment horizontal="center" vertical="center" wrapText="1"/>
    </xf>
    <xf numFmtId="0" fontId="13" fillId="0" borderId="46" xfId="107" applyBorder="1" applyAlignment="1">
      <alignment horizontal="center" vertical="center"/>
    </xf>
    <xf numFmtId="0" fontId="100" fillId="0" borderId="17" xfId="107" applyFont="1" applyBorder="1" applyAlignment="1">
      <alignment vertical="center" wrapText="1"/>
    </xf>
    <xf numFmtId="0" fontId="13" fillId="37" borderId="18" xfId="71" applyFont="1" applyFill="1" applyBorder="1" applyAlignment="1" applyProtection="1">
      <alignment horizontal="center" vertical="center" wrapText="1"/>
      <protection locked="0"/>
    </xf>
    <xf numFmtId="0" fontId="13" fillId="0" borderId="11" xfId="1153" applyBorder="1" applyAlignment="1">
      <alignment horizontal="left" vertical="center" wrapText="1"/>
    </xf>
    <xf numFmtId="0" fontId="100" fillId="0" borderId="48" xfId="107" applyFont="1" applyBorder="1" applyAlignment="1">
      <alignment vertical="center" wrapText="1"/>
    </xf>
    <xf numFmtId="0" fontId="23" fillId="0" borderId="28" xfId="1153" applyFont="1" applyBorder="1" applyAlignment="1">
      <alignment vertical="center" wrapText="1"/>
    </xf>
    <xf numFmtId="0" fontId="28" fillId="26" borderId="47" xfId="107" applyFont="1" applyFill="1" applyBorder="1" applyAlignment="1">
      <alignment vertical="center" wrapText="1"/>
    </xf>
    <xf numFmtId="0" fontId="28" fillId="26" borderId="54" xfId="107" applyFont="1" applyFill="1" applyBorder="1" applyAlignment="1">
      <alignment vertical="center" wrapText="1"/>
    </xf>
    <xf numFmtId="0" fontId="14" fillId="0" borderId="0" xfId="107" applyFont="1" applyAlignment="1">
      <alignment horizontal="center" vertical="center"/>
    </xf>
    <xf numFmtId="0" fontId="62" fillId="0" borderId="0" xfId="1144" applyAlignment="1">
      <alignment horizontal="center"/>
    </xf>
    <xf numFmtId="0" fontId="17" fillId="27" borderId="51" xfId="107" applyFont="1" applyFill="1" applyBorder="1" applyAlignment="1">
      <alignment vertical="center" wrapText="1"/>
    </xf>
    <xf numFmtId="0" fontId="17" fillId="27" borderId="120" xfId="107" applyFont="1" applyFill="1" applyBorder="1" applyAlignment="1">
      <alignment vertical="center" wrapText="1"/>
    </xf>
    <xf numFmtId="0" fontId="17" fillId="27" borderId="12" xfId="1145" applyFont="1" applyFill="1" applyBorder="1" applyAlignment="1">
      <alignment horizontal="center" vertical="center"/>
    </xf>
    <xf numFmtId="0" fontId="62" fillId="0" borderId="41" xfId="0" applyFont="1" applyBorder="1" applyAlignment="1">
      <alignment wrapText="1"/>
    </xf>
    <xf numFmtId="0" fontId="62" fillId="0" borderId="41" xfId="1144" applyBorder="1" applyAlignment="1">
      <alignment vertical="center" wrapText="1"/>
    </xf>
    <xf numFmtId="0" fontId="62" fillId="0" borderId="75" xfId="1144" applyBorder="1" applyAlignment="1">
      <alignment horizontal="center" vertical="center" wrapText="1"/>
    </xf>
    <xf numFmtId="0" fontId="13" fillId="27" borderId="30" xfId="107" applyFill="1" applyBorder="1" applyAlignment="1">
      <alignment vertical="center" wrapText="1"/>
    </xf>
    <xf numFmtId="0" fontId="86" fillId="26" borderId="39" xfId="107" applyFont="1" applyFill="1" applyBorder="1" applyAlignment="1">
      <alignment vertical="center" wrapText="1"/>
    </xf>
    <xf numFmtId="0" fontId="86" fillId="26" borderId="47" xfId="107" applyFont="1" applyFill="1" applyBorder="1" applyAlignment="1">
      <alignment vertical="center" wrapText="1"/>
    </xf>
    <xf numFmtId="0" fontId="86" fillId="26" borderId="47" xfId="107" applyFont="1" applyFill="1" applyBorder="1" applyAlignment="1">
      <alignment horizontal="center" vertical="center" wrapText="1"/>
    </xf>
    <xf numFmtId="0" fontId="86" fillId="26" borderId="12" xfId="107" applyFont="1" applyFill="1" applyBorder="1" applyAlignment="1">
      <alignment horizontal="center" vertical="center" wrapText="1"/>
    </xf>
    <xf numFmtId="0" fontId="26" fillId="0" borderId="70" xfId="107" applyFont="1" applyBorder="1" applyAlignment="1">
      <alignment vertical="center" wrapText="1"/>
    </xf>
    <xf numFmtId="0" fontId="23" fillId="0" borderId="30" xfId="107" applyFont="1" applyBorder="1" applyAlignment="1">
      <alignment vertical="center" wrapText="1"/>
    </xf>
    <xf numFmtId="0" fontId="16" fillId="42" borderId="10" xfId="1144" applyFont="1" applyFill="1" applyBorder="1" applyAlignment="1">
      <alignment horizontal="left" vertical="center" wrapText="1"/>
    </xf>
    <xf numFmtId="0" fontId="16" fillId="43" borderId="10" xfId="1144" applyFont="1" applyFill="1" applyBorder="1" applyAlignment="1" applyProtection="1">
      <alignment horizontal="center" vertical="center" wrapText="1"/>
      <protection locked="0"/>
    </xf>
    <xf numFmtId="0" fontId="13" fillId="43" borderId="10" xfId="1144" applyFont="1" applyFill="1" applyBorder="1" applyAlignment="1" applyProtection="1">
      <alignment horizontal="center" vertical="center" wrapText="1"/>
      <protection locked="0"/>
    </xf>
    <xf numFmtId="0" fontId="16" fillId="26" borderId="10" xfId="1144" applyFont="1" applyFill="1" applyBorder="1" applyAlignment="1">
      <alignment horizontal="center" vertical="center" wrapText="1"/>
    </xf>
    <xf numFmtId="0" fontId="17" fillId="29" borderId="22" xfId="0" applyFont="1" applyFill="1" applyBorder="1" applyAlignment="1" applyProtection="1">
      <alignment horizontal="center" vertical="center" wrapText="1"/>
      <protection locked="0"/>
    </xf>
    <xf numFmtId="0" fontId="61" fillId="0" borderId="0" xfId="1154" applyFont="1" applyAlignment="1">
      <alignment horizontal="center" vertical="center"/>
    </xf>
    <xf numFmtId="0" fontId="61" fillId="0" borderId="0" xfId="1154" applyFont="1"/>
    <xf numFmtId="0" fontId="17" fillId="27" borderId="38" xfId="107" applyFont="1" applyFill="1" applyBorder="1" applyAlignment="1">
      <alignment horizontal="center" vertical="center" wrapText="1"/>
    </xf>
    <xf numFmtId="0" fontId="13" fillId="0" borderId="46" xfId="107" applyBorder="1" applyAlignment="1">
      <alignment horizontal="center" vertical="center" wrapText="1"/>
    </xf>
    <xf numFmtId="0" fontId="13" fillId="0" borderId="15" xfId="107" applyBorder="1" applyAlignment="1">
      <alignment horizontal="left" vertical="center" wrapText="1"/>
    </xf>
    <xf numFmtId="0" fontId="61" fillId="0" borderId="0" xfId="1154" applyFont="1" applyAlignment="1">
      <alignment horizontal="center" vertical="center" wrapText="1"/>
    </xf>
    <xf numFmtId="166" fontId="17" fillId="0" borderId="10" xfId="0" applyNumberFormat="1" applyFont="1" applyBorder="1" applyAlignment="1">
      <alignment horizontal="center" vertical="center" wrapText="1"/>
    </xf>
    <xf numFmtId="0" fontId="26" fillId="0" borderId="37" xfId="0" applyFont="1" applyBorder="1" applyAlignment="1">
      <alignment vertical="center" wrapText="1"/>
    </xf>
    <xf numFmtId="166" fontId="17" fillId="0" borderId="37" xfId="0" applyNumberFormat="1" applyFont="1" applyBorder="1" applyAlignment="1">
      <alignment horizontal="center" vertical="center" wrapText="1"/>
    </xf>
    <xf numFmtId="165" fontId="22" fillId="0" borderId="0" xfId="0" applyNumberFormat="1" applyFont="1" applyAlignment="1" applyProtection="1">
      <alignment horizontal="center" vertical="center"/>
      <protection locked="0"/>
    </xf>
    <xf numFmtId="0" fontId="75" fillId="0" borderId="0" xfId="0" applyFont="1" applyAlignment="1">
      <alignment horizontal="right" vertical="top"/>
    </xf>
    <xf numFmtId="1" fontId="22" fillId="0" borderId="0" xfId="0" applyNumberFormat="1" applyFont="1" applyAlignment="1">
      <alignment horizontal="center" vertical="center"/>
    </xf>
    <xf numFmtId="0" fontId="55" fillId="0" borderId="0" xfId="0" applyFont="1" applyAlignment="1">
      <alignment horizontal="center" vertical="center"/>
    </xf>
    <xf numFmtId="1" fontId="46" fillId="0" borderId="0" xfId="107" applyNumberFormat="1" applyFont="1" applyAlignment="1">
      <alignment horizontal="center" vertical="center"/>
    </xf>
    <xf numFmtId="0" fontId="17" fillId="0" borderId="0" xfId="0" applyFont="1" applyAlignment="1" applyProtection="1">
      <alignment horizontal="center" vertical="center" wrapText="1"/>
      <protection locked="0"/>
    </xf>
    <xf numFmtId="0" fontId="17" fillId="0" borderId="0" xfId="71" applyFont="1" applyFill="1" applyBorder="1" applyAlignment="1" applyProtection="1">
      <alignment horizontal="center" vertical="center"/>
      <protection locked="0"/>
    </xf>
    <xf numFmtId="1" fontId="17" fillId="0" borderId="0" xfId="0" applyNumberFormat="1" applyFont="1" applyAlignment="1">
      <alignment horizontal="center" vertical="center" wrapText="1"/>
    </xf>
    <xf numFmtId="1" fontId="46" fillId="0" borderId="0" xfId="0" applyNumberFormat="1" applyFont="1" applyAlignment="1">
      <alignment horizontal="center" vertical="center" wrapText="1"/>
    </xf>
    <xf numFmtId="1" fontId="28" fillId="0" borderId="0" xfId="0" applyNumberFormat="1" applyFont="1" applyAlignment="1">
      <alignment horizontal="center" vertical="center" wrapText="1"/>
    </xf>
    <xf numFmtId="3" fontId="46" fillId="0" borderId="0" xfId="0" applyNumberFormat="1" applyFont="1" applyAlignment="1">
      <alignment horizontal="center" vertical="center"/>
    </xf>
    <xf numFmtId="0" fontId="13" fillId="0" borderId="19" xfId="0" applyFont="1" applyBorder="1" applyAlignment="1">
      <alignment vertical="center" wrapText="1"/>
    </xf>
    <xf numFmtId="0" fontId="20" fillId="0" borderId="108" xfId="0" applyFont="1" applyBorder="1" applyAlignment="1">
      <alignment horizontal="center" vertical="center" wrapText="1"/>
    </xf>
    <xf numFmtId="166" fontId="16" fillId="0" borderId="34" xfId="0" applyNumberFormat="1" applyFont="1" applyBorder="1" applyAlignment="1">
      <alignment horizontal="center" vertical="center" wrapText="1"/>
    </xf>
    <xf numFmtId="1" fontId="17" fillId="26" borderId="109" xfId="0" applyNumberFormat="1" applyFont="1" applyFill="1" applyBorder="1" applyAlignment="1">
      <alignment horizontal="center" vertical="center" wrapText="1"/>
    </xf>
    <xf numFmtId="166" fontId="17" fillId="0" borderId="17" xfId="0" applyNumberFormat="1" applyFont="1" applyBorder="1" applyAlignment="1">
      <alignment horizontal="center" vertical="center" wrapText="1"/>
    </xf>
    <xf numFmtId="166" fontId="17" fillId="0" borderId="23" xfId="0" applyNumberFormat="1" applyFont="1" applyBorder="1" applyAlignment="1">
      <alignment horizontal="center" vertical="center" wrapText="1"/>
    </xf>
    <xf numFmtId="166" fontId="46" fillId="36" borderId="64" xfId="0" applyNumberFormat="1" applyFont="1" applyFill="1" applyBorder="1" applyAlignment="1">
      <alignment horizontal="center" vertical="center" wrapText="1"/>
    </xf>
    <xf numFmtId="0" fontId="89" fillId="29" borderId="10" xfId="72" applyFont="1" applyFill="1" applyBorder="1" applyAlignment="1" applyProtection="1">
      <alignment horizontal="center" vertical="center"/>
      <protection locked="0"/>
    </xf>
    <xf numFmtId="0" fontId="62" fillId="29" borderId="10" xfId="72" applyFont="1" applyFill="1" applyBorder="1" applyAlignment="1" applyProtection="1">
      <alignment horizontal="center" vertical="center"/>
      <protection locked="0"/>
    </xf>
    <xf numFmtId="1" fontId="28" fillId="44" borderId="24" xfId="0" applyNumberFormat="1" applyFont="1" applyFill="1" applyBorder="1" applyAlignment="1">
      <alignment horizontal="center" vertical="center" wrapText="1"/>
    </xf>
    <xf numFmtId="0" fontId="17" fillId="45" borderId="23" xfId="0" applyFont="1" applyFill="1" applyBorder="1" applyAlignment="1">
      <alignment horizontal="center" vertical="center"/>
    </xf>
    <xf numFmtId="165" fontId="17" fillId="45" borderId="37" xfId="0" applyNumberFormat="1" applyFont="1" applyFill="1" applyBorder="1" applyAlignment="1">
      <alignment horizontal="center" vertical="center"/>
    </xf>
    <xf numFmtId="0" fontId="17" fillId="45" borderId="37" xfId="0" applyFont="1" applyFill="1" applyBorder="1" applyAlignment="1">
      <alignment horizontal="center" vertical="center" wrapText="1"/>
    </xf>
    <xf numFmtId="0" fontId="17" fillId="45" borderId="37" xfId="0" applyFont="1" applyFill="1" applyBorder="1" applyAlignment="1">
      <alignment vertical="center" wrapText="1"/>
    </xf>
    <xf numFmtId="166" fontId="17" fillId="45" borderId="37" xfId="0" applyNumberFormat="1" applyFont="1" applyFill="1" applyBorder="1" applyAlignment="1">
      <alignment horizontal="center" vertical="center" wrapText="1"/>
    </xf>
    <xf numFmtId="0" fontId="13" fillId="0" borderId="95" xfId="107" applyBorder="1" applyAlignment="1">
      <alignment horizontal="center" vertical="center" wrapText="1"/>
    </xf>
    <xf numFmtId="0" fontId="13" fillId="41" borderId="72" xfId="107" applyFill="1" applyBorder="1" applyAlignment="1">
      <alignment horizontal="center" vertical="center" wrapText="1"/>
    </xf>
    <xf numFmtId="0" fontId="13" fillId="29" borderId="58" xfId="71" applyFont="1" applyFill="1" applyBorder="1" applyAlignment="1" applyProtection="1">
      <alignment horizontal="center" vertical="center"/>
      <protection locked="0"/>
    </xf>
    <xf numFmtId="0" fontId="13" fillId="29" borderId="13" xfId="71" applyFont="1" applyFill="1" applyBorder="1" applyAlignment="1" applyProtection="1">
      <alignment horizontal="center" vertical="center"/>
      <protection locked="0"/>
    </xf>
    <xf numFmtId="0" fontId="68" fillId="27" borderId="39" xfId="0" applyFont="1" applyFill="1" applyBorder="1" applyAlignment="1">
      <alignment horizontal="center" vertical="center"/>
    </xf>
    <xf numFmtId="0" fontId="61" fillId="27" borderId="54" xfId="0" applyFont="1" applyFill="1" applyBorder="1" applyAlignment="1">
      <alignment horizontal="center" vertical="center"/>
    </xf>
    <xf numFmtId="0" fontId="68" fillId="27" borderId="36" xfId="0" applyFont="1" applyFill="1" applyBorder="1" applyAlignment="1">
      <alignment horizontal="center" vertical="center"/>
    </xf>
    <xf numFmtId="0" fontId="52" fillId="0" borderId="15" xfId="0" applyFont="1" applyBorder="1" applyAlignment="1">
      <alignment vertical="center"/>
    </xf>
    <xf numFmtId="0" fontId="52" fillId="0" borderId="16" xfId="0" applyFont="1" applyBorder="1" applyAlignment="1">
      <alignment vertical="center"/>
    </xf>
    <xf numFmtId="0" fontId="61" fillId="29" borderId="58" xfId="0" applyFont="1" applyFill="1" applyBorder="1" applyAlignment="1" applyProtection="1">
      <alignment horizontal="center" vertical="center"/>
      <protection locked="0"/>
    </xf>
    <xf numFmtId="0" fontId="68" fillId="27" borderId="88" xfId="0" applyFont="1" applyFill="1" applyBorder="1" applyAlignment="1">
      <alignment horizontal="center" vertical="center"/>
    </xf>
    <xf numFmtId="0" fontId="68" fillId="27" borderId="32" xfId="0" applyFont="1" applyFill="1" applyBorder="1" applyAlignment="1">
      <alignment horizontal="center" vertical="center"/>
    </xf>
    <xf numFmtId="0" fontId="61" fillId="0" borderId="58" xfId="0" applyFont="1" applyBorder="1" applyAlignment="1">
      <alignment horizontal="left" vertical="top" wrapText="1"/>
    </xf>
    <xf numFmtId="0" fontId="61" fillId="0" borderId="19" xfId="0" applyFont="1" applyBorder="1" applyAlignment="1">
      <alignment horizontal="center" vertical="center"/>
    </xf>
    <xf numFmtId="0" fontId="61" fillId="0" borderId="31" xfId="0" applyFont="1" applyBorder="1" applyAlignment="1">
      <alignment horizontal="left" vertical="center" wrapText="1"/>
    </xf>
    <xf numFmtId="0" fontId="61" fillId="0" borderId="43" xfId="0" applyFont="1" applyBorder="1" applyAlignment="1">
      <alignment horizontal="center" vertical="center"/>
    </xf>
    <xf numFmtId="0" fontId="61" fillId="29" borderId="31" xfId="0" applyFont="1" applyFill="1" applyBorder="1" applyAlignment="1" applyProtection="1">
      <alignment horizontal="center" vertical="center"/>
      <protection locked="0"/>
    </xf>
    <xf numFmtId="0" fontId="61" fillId="0" borderId="42" xfId="0" applyFont="1" applyBorder="1" applyAlignment="1">
      <alignment horizontal="left" vertical="center"/>
    </xf>
    <xf numFmtId="0" fontId="61" fillId="0" borderId="21" xfId="0" applyFont="1" applyBorder="1" applyAlignment="1">
      <alignment horizontal="center" vertical="center"/>
    </xf>
    <xf numFmtId="0" fontId="61" fillId="29" borderId="42" xfId="0" applyFont="1" applyFill="1" applyBorder="1" applyAlignment="1" applyProtection="1">
      <alignment horizontal="center" vertical="center"/>
      <protection locked="0"/>
    </xf>
    <xf numFmtId="0" fontId="68" fillId="35" borderId="39" xfId="0" applyFont="1" applyFill="1" applyBorder="1" applyAlignment="1">
      <alignment horizontal="left" vertical="center"/>
    </xf>
    <xf numFmtId="0" fontId="61" fillId="0" borderId="58" xfId="0" applyFont="1" applyBorder="1" applyAlignment="1">
      <alignment vertical="center"/>
    </xf>
    <xf numFmtId="0" fontId="61" fillId="0" borderId="26" xfId="0" applyFont="1" applyBorder="1" applyAlignment="1">
      <alignment vertical="center" wrapText="1"/>
    </xf>
    <xf numFmtId="0" fontId="61" fillId="29" borderId="26" xfId="0" applyFont="1" applyFill="1" applyBorder="1" applyAlignment="1" applyProtection="1">
      <alignment horizontal="center" vertical="center"/>
      <protection locked="0"/>
    </xf>
    <xf numFmtId="0" fontId="61" fillId="0" borderId="32" xfId="0" applyFont="1" applyBorder="1" applyAlignment="1">
      <alignment vertical="center"/>
    </xf>
    <xf numFmtId="0" fontId="61" fillId="0" borderId="12" xfId="0" applyFont="1" applyBorder="1" applyAlignment="1">
      <alignment vertical="center"/>
    </xf>
    <xf numFmtId="0" fontId="61" fillId="0" borderId="31" xfId="0" applyFont="1" applyBorder="1" applyAlignment="1">
      <alignment horizontal="center" vertical="center"/>
    </xf>
    <xf numFmtId="0" fontId="61" fillId="0" borderId="26" xfId="0" applyFont="1" applyBorder="1" applyAlignment="1">
      <alignment horizontal="center" vertical="center"/>
    </xf>
    <xf numFmtId="0" fontId="61" fillId="0" borderId="31" xfId="0" applyFont="1" applyBorder="1" applyAlignment="1">
      <alignment vertical="center"/>
    </xf>
    <xf numFmtId="0" fontId="61" fillId="0" borderId="42" xfId="0" applyFont="1" applyBorder="1" applyAlignment="1">
      <alignment vertical="center" wrapText="1"/>
    </xf>
    <xf numFmtId="0" fontId="62" fillId="0" borderId="12" xfId="0" applyFont="1" applyBorder="1" applyAlignment="1">
      <alignment vertical="center" wrapText="1"/>
    </xf>
    <xf numFmtId="0" fontId="61" fillId="0" borderId="47" xfId="0" applyFont="1" applyBorder="1" applyAlignment="1">
      <alignment horizontal="center" vertical="center"/>
    </xf>
    <xf numFmtId="0" fontId="61" fillId="29" borderId="12" xfId="0" applyFont="1" applyFill="1" applyBorder="1" applyAlignment="1" applyProtection="1">
      <alignment horizontal="center" vertical="center"/>
      <protection locked="0"/>
    </xf>
    <xf numFmtId="0" fontId="62" fillId="0" borderId="18" xfId="0" applyFont="1" applyBorder="1" applyAlignment="1">
      <alignment vertical="center" wrapText="1"/>
    </xf>
    <xf numFmtId="0" fontId="61" fillId="29" borderId="18" xfId="0" applyFont="1" applyFill="1" applyBorder="1" applyAlignment="1" applyProtection="1">
      <alignment horizontal="center" vertical="center"/>
      <protection locked="0"/>
    </xf>
    <xf numFmtId="0" fontId="62" fillId="0" borderId="42" xfId="0" applyFont="1" applyBorder="1" applyAlignment="1">
      <alignment vertical="center" wrapText="1"/>
    </xf>
    <xf numFmtId="0" fontId="65" fillId="35" borderId="47" xfId="0" applyFont="1" applyFill="1" applyBorder="1" applyAlignment="1">
      <alignment horizontal="center" vertical="center"/>
    </xf>
    <xf numFmtId="0" fontId="65" fillId="35" borderId="54" xfId="0" applyFont="1" applyFill="1" applyBorder="1" applyAlignment="1">
      <alignment horizontal="center" vertical="center"/>
    </xf>
    <xf numFmtId="0" fontId="61" fillId="29" borderId="43" xfId="0" applyFont="1" applyFill="1" applyBorder="1" applyAlignment="1" applyProtection="1">
      <alignment horizontal="center" vertical="center"/>
      <protection locked="0"/>
    </xf>
    <xf numFmtId="0" fontId="61" fillId="26" borderId="26" xfId="0" applyFont="1" applyFill="1" applyBorder="1" applyAlignment="1">
      <alignment horizontal="center" vertical="center"/>
    </xf>
    <xf numFmtId="0" fontId="61" fillId="0" borderId="26" xfId="0" applyFont="1" applyBorder="1" applyAlignment="1">
      <alignment vertical="center"/>
    </xf>
    <xf numFmtId="0" fontId="68" fillId="26" borderId="51" xfId="0" applyFont="1" applyFill="1" applyBorder="1" applyAlignment="1">
      <alignment vertical="center"/>
    </xf>
    <xf numFmtId="0" fontId="68" fillId="26" borderId="118" xfId="0" applyFont="1" applyFill="1" applyBorder="1" applyAlignment="1">
      <alignment horizontal="center" vertical="center"/>
    </xf>
    <xf numFmtId="0" fontId="93" fillId="26" borderId="12" xfId="0" applyFont="1" applyFill="1" applyBorder="1" applyAlignment="1">
      <alignment horizontal="center" vertical="center"/>
    </xf>
    <xf numFmtId="0" fontId="99" fillId="0" borderId="0" xfId="0" applyFont="1" applyAlignment="1">
      <alignment vertical="center"/>
    </xf>
    <xf numFmtId="0" fontId="99" fillId="0" borderId="0" xfId="0" applyFont="1" applyAlignment="1" applyProtection="1">
      <alignment horizontal="center" vertical="center"/>
      <protection locked="0"/>
    </xf>
    <xf numFmtId="0" fontId="99" fillId="0" borderId="0" xfId="0" applyFont="1" applyAlignment="1">
      <alignment horizontal="center" vertical="center"/>
    </xf>
    <xf numFmtId="0" fontId="98" fillId="0" borderId="0" xfId="0" applyFont="1" applyAlignment="1">
      <alignment vertical="center"/>
    </xf>
    <xf numFmtId="0" fontId="66" fillId="0" borderId="0" xfId="0" applyFont="1" applyAlignment="1">
      <alignment horizontal="center"/>
    </xf>
    <xf numFmtId="0" fontId="0" fillId="0" borderId="0" xfId="0" applyAlignment="1">
      <alignment horizontal="center"/>
    </xf>
    <xf numFmtId="166" fontId="16" fillId="0" borderId="46" xfId="0" applyNumberFormat="1" applyFont="1" applyBorder="1" applyAlignment="1">
      <alignment horizontal="center" vertical="center" wrapText="1"/>
    </xf>
    <xf numFmtId="0" fontId="46" fillId="30" borderId="88" xfId="0" applyFont="1" applyFill="1" applyBorder="1" applyAlignment="1">
      <alignment horizontal="left" vertical="center" wrapText="1"/>
    </xf>
    <xf numFmtId="0" fontId="46" fillId="30" borderId="98" xfId="0" applyFont="1" applyFill="1" applyBorder="1" applyAlignment="1">
      <alignment horizontal="left" vertical="center" wrapText="1"/>
    </xf>
    <xf numFmtId="0" fontId="46" fillId="34" borderId="39" xfId="0" applyFont="1" applyFill="1" applyBorder="1" applyAlignment="1">
      <alignment horizontal="left" vertical="center" wrapText="1"/>
    </xf>
    <xf numFmtId="0" fontId="46" fillId="34" borderId="99" xfId="0" applyFont="1" applyFill="1" applyBorder="1" applyAlignment="1">
      <alignment horizontal="left" vertical="center" wrapText="1"/>
    </xf>
    <xf numFmtId="0" fontId="16" fillId="0" borderId="0" xfId="0" applyFont="1" applyAlignment="1">
      <alignment horizontal="left" wrapText="1"/>
    </xf>
    <xf numFmtId="0" fontId="52" fillId="0" borderId="28" xfId="0" applyFont="1" applyBorder="1" applyAlignment="1">
      <alignment horizontal="left" wrapText="1"/>
    </xf>
    <xf numFmtId="0" fontId="52" fillId="0" borderId="70" xfId="0" applyFont="1" applyBorder="1" applyAlignment="1">
      <alignment horizontal="left"/>
    </xf>
    <xf numFmtId="0" fontId="52" fillId="0" borderId="53" xfId="0" applyFont="1" applyBorder="1" applyAlignment="1">
      <alignment horizontal="left"/>
    </xf>
    <xf numFmtId="0" fontId="52" fillId="0" borderId="55" xfId="0" applyFont="1" applyBorder="1" applyAlignment="1">
      <alignment horizontal="left"/>
    </xf>
    <xf numFmtId="0" fontId="52" fillId="0" borderId="75" xfId="0" applyFont="1" applyBorder="1" applyAlignment="1">
      <alignment horizontal="left"/>
    </xf>
    <xf numFmtId="0" fontId="52" fillId="0" borderId="56" xfId="0" applyFont="1" applyBorder="1" applyAlignment="1">
      <alignment horizontal="left"/>
    </xf>
    <xf numFmtId="1" fontId="17" fillId="36" borderId="94" xfId="0" applyNumberFormat="1" applyFont="1" applyFill="1" applyBorder="1" applyAlignment="1">
      <alignment horizontal="center" vertical="center" wrapText="1"/>
    </xf>
    <xf numFmtId="1" fontId="17" fillId="36" borderId="90" xfId="0" applyNumberFormat="1" applyFont="1" applyFill="1" applyBorder="1" applyAlignment="1">
      <alignment horizontal="center" vertical="center" wrapText="1"/>
    </xf>
    <xf numFmtId="0" fontId="13" fillId="36" borderId="90" xfId="0" applyFont="1" applyFill="1" applyBorder="1" applyAlignment="1">
      <alignment horizontal="center" vertical="center" wrapText="1"/>
    </xf>
    <xf numFmtId="0" fontId="21" fillId="27" borderId="39" xfId="0" applyFont="1" applyFill="1" applyBorder="1" applyAlignment="1">
      <alignment horizontal="center" vertical="center" wrapText="1"/>
    </xf>
    <xf numFmtId="0" fontId="21" fillId="27" borderId="47" xfId="0" applyFont="1" applyFill="1" applyBorder="1" applyAlignment="1">
      <alignment horizontal="center" vertical="center" wrapText="1"/>
    </xf>
    <xf numFmtId="0" fontId="21" fillId="27" borderId="54" xfId="0" applyFont="1" applyFill="1" applyBorder="1" applyAlignment="1">
      <alignment horizontal="center" vertical="center" wrapText="1"/>
    </xf>
    <xf numFmtId="0" fontId="55" fillId="35" borderId="33" xfId="0" applyFont="1" applyFill="1" applyBorder="1" applyAlignment="1">
      <alignment horizontal="center" vertical="center"/>
    </xf>
    <xf numFmtId="0" fontId="55" fillId="35" borderId="104" xfId="0" applyFont="1" applyFill="1" applyBorder="1" applyAlignment="1">
      <alignment horizontal="center" vertical="center"/>
    </xf>
    <xf numFmtId="0" fontId="0" fillId="35" borderId="53" xfId="0" applyFill="1" applyBorder="1" applyAlignment="1">
      <alignment vertical="center"/>
    </xf>
    <xf numFmtId="0" fontId="0" fillId="35" borderId="55" xfId="0" applyFill="1" applyBorder="1" applyAlignment="1">
      <alignment vertical="center"/>
    </xf>
    <xf numFmtId="0" fontId="93" fillId="35" borderId="33" xfId="0" applyFont="1" applyFill="1" applyBorder="1" applyAlignment="1">
      <alignment horizontal="center" wrapText="1"/>
    </xf>
    <xf numFmtId="0" fontId="93" fillId="35" borderId="36" xfId="0" applyFont="1" applyFill="1" applyBorder="1" applyAlignment="1">
      <alignment horizontal="center" wrapText="1"/>
    </xf>
    <xf numFmtId="0" fontId="62" fillId="35" borderId="53" xfId="0" applyFont="1" applyFill="1" applyBorder="1" applyAlignment="1">
      <alignment horizontal="center" wrapText="1"/>
    </xf>
    <xf numFmtId="0" fontId="62" fillId="35" borderId="0" xfId="0" applyFont="1" applyFill="1" applyAlignment="1">
      <alignment horizontal="center" wrapText="1"/>
    </xf>
    <xf numFmtId="0" fontId="93" fillId="35" borderId="104" xfId="0" applyFont="1" applyFill="1" applyBorder="1" applyAlignment="1">
      <alignment horizontal="center" wrapText="1"/>
    </xf>
    <xf numFmtId="0" fontId="62" fillId="35" borderId="53" xfId="0" applyFont="1" applyFill="1" applyBorder="1" applyAlignment="1">
      <alignment wrapText="1"/>
    </xf>
    <xf numFmtId="0" fontId="62" fillId="35" borderId="55" xfId="0" applyFont="1" applyFill="1" applyBorder="1" applyAlignment="1">
      <alignment wrapText="1"/>
    </xf>
    <xf numFmtId="0" fontId="55" fillId="35" borderId="33" xfId="0" applyFont="1" applyFill="1" applyBorder="1" applyAlignment="1">
      <alignment horizontal="center" vertical="center" wrapText="1"/>
    </xf>
    <xf numFmtId="0" fontId="55" fillId="35" borderId="104" xfId="0" applyFont="1" applyFill="1" applyBorder="1" applyAlignment="1">
      <alignment horizontal="center" vertical="center" wrapText="1"/>
    </xf>
    <xf numFmtId="0" fontId="0" fillId="35" borderId="53" xfId="0" applyFill="1" applyBorder="1" applyAlignment="1">
      <alignment vertical="center" wrapText="1"/>
    </xf>
    <xf numFmtId="0" fontId="0" fillId="35" borderId="55" xfId="0" applyFill="1" applyBorder="1" applyAlignment="1">
      <alignment vertical="center" wrapText="1"/>
    </xf>
    <xf numFmtId="0" fontId="16" fillId="0" borderId="76" xfId="0" applyFont="1" applyBorder="1" applyAlignment="1">
      <alignment horizontal="center" vertical="center" wrapText="1"/>
    </xf>
    <xf numFmtId="0" fontId="16" fillId="0" borderId="44" xfId="0" applyFont="1" applyBorder="1" applyAlignment="1">
      <alignment horizontal="center" vertical="center" wrapText="1"/>
    </xf>
    <xf numFmtId="167" fontId="16" fillId="0" borderId="48" xfId="86" applyNumberFormat="1" applyFont="1" applyFill="1" applyBorder="1" applyAlignment="1" applyProtection="1">
      <alignment horizontal="center" vertical="center" wrapText="1"/>
    </xf>
    <xf numFmtId="0" fontId="13" fillId="0" borderId="78" xfId="0" applyFont="1" applyBorder="1" applyAlignment="1">
      <alignment horizontal="center" vertical="center" wrapText="1"/>
    </xf>
    <xf numFmtId="167" fontId="16" fillId="0" borderId="25" xfId="86" applyNumberFormat="1" applyFont="1" applyFill="1" applyBorder="1" applyAlignment="1" applyProtection="1">
      <alignment horizontal="center" vertical="center" wrapText="1"/>
    </xf>
    <xf numFmtId="0" fontId="13" fillId="0" borderId="14" xfId="0" applyFont="1" applyBorder="1" applyAlignment="1">
      <alignment horizontal="center" vertical="center" wrapText="1"/>
    </xf>
    <xf numFmtId="0" fontId="13" fillId="0" borderId="25" xfId="0" applyFont="1" applyBorder="1" applyAlignment="1">
      <alignment horizontal="center" vertical="center" wrapText="1"/>
    </xf>
    <xf numFmtId="166" fontId="13" fillId="0" borderId="112" xfId="0" applyNumberFormat="1" applyFont="1" applyBorder="1" applyAlignment="1">
      <alignment horizontal="center" vertical="center" wrapText="1"/>
    </xf>
    <xf numFmtId="166" fontId="13" fillId="0" borderId="113" xfId="0" applyNumberFormat="1" applyFont="1" applyBorder="1" applyAlignment="1">
      <alignment horizontal="center" vertical="center" wrapText="1"/>
    </xf>
    <xf numFmtId="166" fontId="13" fillId="0" borderId="114" xfId="0" applyNumberFormat="1" applyFont="1" applyBorder="1" applyAlignment="1">
      <alignment horizontal="center" vertical="center" wrapText="1"/>
    </xf>
    <xf numFmtId="166" fontId="13" fillId="0" borderId="115" xfId="0" applyNumberFormat="1" applyFont="1" applyBorder="1" applyAlignment="1">
      <alignment horizontal="center" vertical="center" wrapText="1"/>
    </xf>
    <xf numFmtId="167" fontId="16" fillId="0" borderId="48" xfId="94" applyNumberFormat="1" applyFont="1" applyFill="1" applyBorder="1" applyAlignment="1" applyProtection="1">
      <alignment horizontal="center" vertical="center" wrapText="1"/>
    </xf>
    <xf numFmtId="167" fontId="16" fillId="0" borderId="78" xfId="94" applyNumberFormat="1" applyFont="1" applyFill="1" applyBorder="1" applyAlignment="1" applyProtection="1">
      <alignment horizontal="center" vertical="center" wrapText="1"/>
    </xf>
    <xf numFmtId="167" fontId="16" fillId="0" borderId="25" xfId="94" applyNumberFormat="1" applyFont="1" applyFill="1" applyBorder="1" applyAlignment="1" applyProtection="1">
      <alignment horizontal="center" vertical="center" wrapText="1"/>
    </xf>
    <xf numFmtId="167" fontId="16" fillId="0" borderId="14" xfId="94" applyNumberFormat="1" applyFont="1" applyFill="1" applyBorder="1" applyAlignment="1" applyProtection="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16" fillId="0" borderId="66"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0" xfId="0" applyFont="1" applyAlignment="1">
      <alignment horizontal="center" vertical="center" wrapText="1"/>
    </xf>
    <xf numFmtId="0" fontId="16" fillId="0" borderId="69"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63" xfId="0" applyFont="1" applyBorder="1" applyAlignment="1">
      <alignment horizontal="center" vertical="center" wrapText="1"/>
    </xf>
    <xf numFmtId="1" fontId="22" fillId="0" borderId="39" xfId="0" applyNumberFormat="1" applyFont="1" applyBorder="1" applyAlignment="1">
      <alignment horizontal="center" vertical="center"/>
    </xf>
    <xf numFmtId="1" fontId="22" fillId="0" borderId="54" xfId="0" applyNumberFormat="1" applyFont="1" applyBorder="1" applyAlignment="1">
      <alignment horizontal="center" vertical="center"/>
    </xf>
    <xf numFmtId="165" fontId="22" fillId="0" borderId="39" xfId="0" applyNumberFormat="1" applyFont="1" applyBorder="1" applyAlignment="1" applyProtection="1">
      <alignment horizontal="center" vertical="center"/>
      <protection locked="0"/>
    </xf>
    <xf numFmtId="165" fontId="22" fillId="0" borderId="47" xfId="0" applyNumberFormat="1" applyFont="1" applyBorder="1" applyAlignment="1" applyProtection="1">
      <alignment horizontal="center" vertical="center"/>
      <protection locked="0"/>
    </xf>
    <xf numFmtId="165" fontId="22" fillId="0" borderId="54" xfId="0" applyNumberFormat="1" applyFont="1" applyBorder="1" applyAlignment="1" applyProtection="1">
      <alignment horizontal="center" vertical="center"/>
      <protection locked="0"/>
    </xf>
    <xf numFmtId="0" fontId="55" fillId="0" borderId="36" xfId="0" applyFont="1" applyBorder="1" applyAlignment="1">
      <alignment horizontal="center" vertical="center"/>
    </xf>
    <xf numFmtId="0" fontId="22" fillId="0" borderId="35" xfId="0" applyFont="1" applyBorder="1" applyAlignment="1">
      <alignment horizontal="right" vertical="top"/>
    </xf>
    <xf numFmtId="0" fontId="75" fillId="0" borderId="108" xfId="0" applyFont="1" applyBorder="1" applyAlignment="1">
      <alignment horizontal="right" vertical="top"/>
    </xf>
    <xf numFmtId="166" fontId="17" fillId="0" borderId="114" xfId="0" applyNumberFormat="1" applyFont="1" applyBorder="1" applyAlignment="1">
      <alignment horizontal="center" vertical="center" wrapText="1"/>
    </xf>
    <xf numFmtId="166" fontId="17" fillId="0" borderId="115" xfId="0" applyNumberFormat="1" applyFont="1" applyBorder="1" applyAlignment="1">
      <alignment horizontal="center" vertical="center" wrapText="1"/>
    </xf>
    <xf numFmtId="166" fontId="17" fillId="0" borderId="82" xfId="0" applyNumberFormat="1" applyFont="1" applyBorder="1" applyAlignment="1">
      <alignment horizontal="center" vertical="center" wrapText="1"/>
    </xf>
    <xf numFmtId="166" fontId="17" fillId="0" borderId="83" xfId="0" applyNumberFormat="1" applyFont="1" applyBorder="1" applyAlignment="1">
      <alignment horizontal="center" vertical="center" wrapText="1"/>
    </xf>
    <xf numFmtId="166" fontId="17" fillId="0" borderId="84" xfId="0" applyNumberFormat="1" applyFont="1" applyBorder="1" applyAlignment="1">
      <alignment horizontal="center" vertical="center" wrapText="1"/>
    </xf>
    <xf numFmtId="166" fontId="17" fillId="0" borderId="85" xfId="0" applyNumberFormat="1" applyFont="1" applyBorder="1" applyAlignment="1">
      <alignment horizontal="center" vertical="center" wrapText="1"/>
    </xf>
    <xf numFmtId="166" fontId="17" fillId="0" borderId="112" xfId="0" applyNumberFormat="1" applyFont="1" applyBorder="1" applyAlignment="1">
      <alignment horizontal="center" vertical="center" wrapText="1"/>
    </xf>
    <xf numFmtId="166" fontId="17" fillId="0" borderId="113" xfId="0" applyNumberFormat="1" applyFont="1" applyBorder="1" applyAlignment="1">
      <alignment horizontal="center" vertical="center" wrapText="1"/>
    </xf>
    <xf numFmtId="0" fontId="16" fillId="0" borderId="0" xfId="0" applyFont="1" applyAlignment="1" applyProtection="1">
      <alignment textRotation="90" wrapText="1"/>
      <protection locked="0"/>
    </xf>
    <xf numFmtId="0" fontId="0" fillId="0" borderId="0" xfId="0" applyAlignment="1" applyProtection="1">
      <alignment textRotation="90" wrapText="1"/>
      <protection locked="0"/>
    </xf>
    <xf numFmtId="0" fontId="0" fillId="0" borderId="0" xfId="0" applyProtection="1">
      <protection locked="0"/>
    </xf>
    <xf numFmtId="0" fontId="0" fillId="0" borderId="0" xfId="0" applyAlignment="1" applyProtection="1">
      <alignment wrapText="1"/>
      <protection locked="0"/>
    </xf>
    <xf numFmtId="0" fontId="28" fillId="26" borderId="39" xfId="107" applyFont="1" applyFill="1" applyBorder="1" applyAlignment="1">
      <alignment horizontal="left" vertical="center" wrapText="1"/>
    </xf>
    <xf numFmtId="0" fontId="28" fillId="26" borderId="47" xfId="107" applyFont="1" applyFill="1" applyBorder="1" applyAlignment="1">
      <alignment horizontal="left" vertical="center" wrapText="1"/>
    </xf>
    <xf numFmtId="0" fontId="28" fillId="26" borderId="54" xfId="107" applyFont="1" applyFill="1" applyBorder="1" applyAlignment="1">
      <alignment horizontal="left" vertical="center" wrapText="1"/>
    </xf>
    <xf numFmtId="0" fontId="28" fillId="26" borderId="97" xfId="107" applyFont="1" applyFill="1" applyBorder="1" applyAlignment="1">
      <alignment vertical="center" wrapText="1"/>
    </xf>
    <xf numFmtId="0" fontId="28" fillId="26" borderId="108" xfId="107" applyFont="1" applyFill="1" applyBorder="1" applyAlignment="1">
      <alignment vertical="center" wrapText="1"/>
    </xf>
    <xf numFmtId="0" fontId="17" fillId="27" borderId="118" xfId="107" applyFont="1" applyFill="1" applyBorder="1" applyAlignment="1">
      <alignment horizontal="center" vertical="center" wrapText="1"/>
    </xf>
    <xf numFmtId="0" fontId="17" fillId="27" borderId="47" xfId="107" applyFont="1" applyFill="1" applyBorder="1" applyAlignment="1">
      <alignment horizontal="center" vertical="center" wrapText="1"/>
    </xf>
    <xf numFmtId="0" fontId="17" fillId="27" borderId="119" xfId="107" applyFont="1" applyFill="1" applyBorder="1" applyAlignment="1">
      <alignment horizontal="center" vertical="center" wrapText="1"/>
    </xf>
    <xf numFmtId="0" fontId="17" fillId="0" borderId="15" xfId="1153" applyFont="1" applyBorder="1" applyAlignment="1">
      <alignment horizontal="left" vertical="center" wrapText="1"/>
    </xf>
    <xf numFmtId="0" fontId="17" fillId="0" borderId="23" xfId="1153" applyFont="1" applyBorder="1" applyAlignment="1">
      <alignment horizontal="left" vertical="center" wrapText="1"/>
    </xf>
    <xf numFmtId="0" fontId="13" fillId="0" borderId="71" xfId="107" applyBorder="1" applyAlignment="1">
      <alignment horizontal="left" vertical="center" wrapText="1"/>
    </xf>
    <xf numFmtId="0" fontId="13" fillId="0" borderId="37" xfId="1153" applyBorder="1" applyAlignment="1">
      <alignment horizontal="left" vertical="center" wrapText="1"/>
    </xf>
    <xf numFmtId="0" fontId="13" fillId="0" borderId="71" xfId="1153" applyBorder="1" applyAlignment="1">
      <alignment horizontal="left" vertical="center" wrapText="1"/>
    </xf>
    <xf numFmtId="0" fontId="13" fillId="0" borderId="15" xfId="107" applyBorder="1" applyAlignment="1">
      <alignment horizontal="left" vertical="center" wrapText="1"/>
    </xf>
    <xf numFmtId="0" fontId="13" fillId="0" borderId="17" xfId="107" applyBorder="1" applyAlignment="1">
      <alignment horizontal="left" vertical="center" wrapText="1"/>
    </xf>
    <xf numFmtId="0" fontId="13" fillId="0" borderId="10" xfId="107" applyBorder="1" applyAlignment="1">
      <alignment horizontal="left" vertical="center" wrapText="1"/>
    </xf>
    <xf numFmtId="0" fontId="16" fillId="0" borderId="17" xfId="107" applyFont="1" applyBorder="1" applyAlignment="1">
      <alignment horizontal="left" vertical="center" wrapText="1"/>
    </xf>
    <xf numFmtId="0" fontId="16" fillId="0" borderId="10" xfId="107" applyFont="1" applyBorder="1" applyAlignment="1">
      <alignment horizontal="left" vertical="center" wrapText="1"/>
    </xf>
    <xf numFmtId="0" fontId="13" fillId="0" borderId="33" xfId="107" applyBorder="1" applyAlignment="1">
      <alignment horizontal="center" vertical="center" wrapText="1"/>
    </xf>
    <xf numFmtId="0" fontId="13" fillId="0" borderId="89" xfId="107" applyBorder="1" applyAlignment="1">
      <alignment horizontal="center" vertical="center" wrapText="1"/>
    </xf>
    <xf numFmtId="0" fontId="13" fillId="0" borderId="35" xfId="107" applyBorder="1" applyAlignment="1">
      <alignment horizontal="center" vertical="center" wrapText="1"/>
    </xf>
    <xf numFmtId="0" fontId="13" fillId="0" borderId="121" xfId="107" applyBorder="1" applyAlignment="1">
      <alignment horizontal="center" vertical="center" wrapText="1"/>
    </xf>
    <xf numFmtId="0" fontId="13" fillId="0" borderId="23" xfId="107" applyBorder="1" applyAlignment="1">
      <alignment horizontal="left" vertical="center" wrapText="1"/>
    </xf>
    <xf numFmtId="0" fontId="13" fillId="0" borderId="37" xfId="107" applyBorder="1" applyAlignment="1">
      <alignment horizontal="left" vertical="center" wrapText="1"/>
    </xf>
    <xf numFmtId="0" fontId="17" fillId="0" borderId="15" xfId="107" applyFont="1" applyBorder="1" applyAlignment="1">
      <alignment horizontal="left" vertical="center" wrapText="1"/>
    </xf>
    <xf numFmtId="0" fontId="17" fillId="0" borderId="17" xfId="107" applyFont="1" applyBorder="1" applyAlignment="1">
      <alignment horizontal="left" vertical="center" wrapText="1"/>
    </xf>
    <xf numFmtId="0" fontId="17" fillId="0" borderId="23" xfId="107" applyFont="1" applyBorder="1" applyAlignment="1">
      <alignment horizontal="left" vertical="center" wrapText="1"/>
    </xf>
    <xf numFmtId="0" fontId="23" fillId="0" borderId="71" xfId="107" applyFont="1" applyBorder="1" applyAlignment="1">
      <alignment horizontal="left" vertical="top" wrapText="1"/>
    </xf>
    <xf numFmtId="0" fontId="23" fillId="0" borderId="10" xfId="107" applyFont="1" applyBorder="1" applyAlignment="1">
      <alignment horizontal="left" vertical="top" wrapText="1"/>
    </xf>
    <xf numFmtId="0" fontId="26" fillId="0" borderId="10" xfId="107" applyFont="1" applyBorder="1" applyAlignment="1">
      <alignment horizontal="left" vertical="center" wrapText="1"/>
    </xf>
    <xf numFmtId="0" fontId="16" fillId="0" borderId="30" xfId="1153" applyFont="1" applyBorder="1" applyAlignment="1">
      <alignment horizontal="left" vertical="center" wrapText="1"/>
    </xf>
    <xf numFmtId="0" fontId="17" fillId="0" borderId="64" xfId="107" applyFont="1" applyBorder="1" applyAlignment="1">
      <alignment horizontal="left" vertical="center" wrapText="1"/>
    </xf>
    <xf numFmtId="0" fontId="17" fillId="0" borderId="91" xfId="107" applyFont="1" applyBorder="1" applyAlignment="1">
      <alignment horizontal="left" vertical="center" wrapText="1"/>
    </xf>
    <xf numFmtId="0" fontId="17" fillId="0" borderId="93" xfId="107" applyFont="1" applyBorder="1" applyAlignment="1">
      <alignment horizontal="left" vertical="center" wrapText="1"/>
    </xf>
    <xf numFmtId="0" fontId="13" fillId="29" borderId="42" xfId="1145" applyFont="1" applyFill="1" applyBorder="1" applyAlignment="1" applyProtection="1">
      <alignment horizontal="center" vertical="center" wrapText="1"/>
      <protection locked="0"/>
    </xf>
    <xf numFmtId="0" fontId="13" fillId="29" borderId="18" xfId="1145" applyFont="1" applyFill="1" applyBorder="1" applyAlignment="1" applyProtection="1">
      <alignment horizontal="center" vertical="center" wrapText="1"/>
      <protection locked="0"/>
    </xf>
    <xf numFmtId="0" fontId="16" fillId="0" borderId="71" xfId="1153" applyFont="1" applyBorder="1" applyAlignment="1">
      <alignment vertical="center" wrapText="1"/>
    </xf>
    <xf numFmtId="0" fontId="16" fillId="0" borderId="37" xfId="1153" applyFont="1" applyBorder="1" applyAlignment="1">
      <alignment vertical="center" wrapText="1"/>
    </xf>
    <xf numFmtId="0" fontId="13" fillId="0" borderId="7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18" xfId="1153" applyBorder="1" applyAlignment="1">
      <alignment horizontal="left" vertical="center" wrapText="1"/>
    </xf>
    <xf numFmtId="0" fontId="13" fillId="0" borderId="47" xfId="1153" applyBorder="1" applyAlignment="1">
      <alignment horizontal="left" vertical="center" wrapText="1"/>
    </xf>
    <xf numFmtId="0" fontId="13" fillId="0" borderId="119" xfId="1153" applyBorder="1" applyAlignment="1">
      <alignment horizontal="left" vertical="center" wrapText="1"/>
    </xf>
    <xf numFmtId="0" fontId="13" fillId="0" borderId="95" xfId="107" applyBorder="1" applyAlignment="1">
      <alignment horizontal="center" vertical="center" wrapText="1"/>
    </xf>
    <xf numFmtId="0" fontId="13" fillId="0" borderId="50" xfId="107" applyBorder="1" applyAlignment="1">
      <alignment horizontal="center" vertical="center" wrapText="1"/>
    </xf>
    <xf numFmtId="0" fontId="23" fillId="0" borderId="37" xfId="107" applyFont="1" applyBorder="1" applyAlignment="1">
      <alignment horizontal="left" vertical="center" wrapText="1"/>
    </xf>
    <xf numFmtId="0" fontId="23" fillId="0" borderId="71" xfId="1153" applyFont="1" applyBorder="1" applyAlignment="1">
      <alignment horizontal="left" vertical="center" wrapText="1"/>
    </xf>
    <xf numFmtId="0" fontId="23" fillId="0" borderId="37" xfId="1153" applyFont="1" applyBorder="1" applyAlignment="1">
      <alignment horizontal="left" vertical="center" wrapText="1"/>
    </xf>
    <xf numFmtId="0" fontId="13" fillId="0" borderId="72" xfId="1153" applyBorder="1" applyAlignment="1">
      <alignment horizontal="center" vertical="center" wrapText="1"/>
    </xf>
    <xf numFmtId="0" fontId="13" fillId="0" borderId="24" xfId="1153" applyBorder="1" applyAlignment="1">
      <alignment horizontal="center" vertical="center" wrapText="1"/>
    </xf>
    <xf numFmtId="0" fontId="26" fillId="0" borderId="71" xfId="107" applyFont="1" applyBorder="1" applyAlignment="1">
      <alignment horizontal="left" vertical="center" wrapText="1"/>
    </xf>
    <xf numFmtId="0" fontId="13" fillId="0" borderId="72" xfId="107" applyBorder="1" applyAlignment="1">
      <alignment horizontal="center" vertical="center" wrapText="1"/>
    </xf>
    <xf numFmtId="0" fontId="13" fillId="0" borderId="22" xfId="107" applyBorder="1" applyAlignment="1">
      <alignment horizontal="center" vertical="center" wrapText="1"/>
    </xf>
    <xf numFmtId="0" fontId="13" fillId="0" borderId="105" xfId="71" applyFont="1" applyFill="1" applyBorder="1" applyAlignment="1" applyProtection="1">
      <alignment horizontal="center" vertical="center" wrapText="1"/>
    </xf>
    <xf numFmtId="0" fontId="13" fillId="0" borderId="106" xfId="71" applyFont="1" applyFill="1" applyBorder="1" applyAlignment="1" applyProtection="1">
      <alignment horizontal="center" vertical="center" wrapText="1"/>
    </xf>
    <xf numFmtId="0" fontId="23" fillId="0" borderId="10" xfId="107" applyFont="1" applyBorder="1" applyAlignment="1">
      <alignment horizontal="left" vertical="center" wrapText="1"/>
    </xf>
    <xf numFmtId="0" fontId="13" fillId="0" borderId="10" xfId="1153" applyBorder="1" applyAlignment="1">
      <alignment horizontal="left" vertical="center" wrapText="1"/>
    </xf>
    <xf numFmtId="0" fontId="13" fillId="29" borderId="42" xfId="71" applyFont="1" applyFill="1" applyBorder="1" applyAlignment="1" applyProtection="1">
      <alignment horizontal="center" vertical="center" wrapText="1"/>
      <protection locked="0"/>
    </xf>
    <xf numFmtId="0" fontId="13" fillId="29" borderId="18" xfId="71" applyFont="1" applyFill="1" applyBorder="1" applyAlignment="1" applyProtection="1">
      <alignment horizontal="center" vertical="center" wrapText="1"/>
      <protection locked="0"/>
    </xf>
    <xf numFmtId="0" fontId="17" fillId="27" borderId="88" xfId="107" applyFont="1" applyFill="1" applyBorder="1" applyAlignment="1">
      <alignment horizontal="center" vertical="center" wrapText="1"/>
    </xf>
    <xf numFmtId="0" fontId="17" fillId="27" borderId="36" xfId="107" applyFont="1" applyFill="1" applyBorder="1" applyAlignment="1">
      <alignment horizontal="center" vertical="center" wrapText="1"/>
    </xf>
    <xf numFmtId="0" fontId="17" fillId="27" borderId="89" xfId="107" applyFont="1" applyFill="1" applyBorder="1" applyAlignment="1">
      <alignment horizontal="center" vertical="center" wrapText="1"/>
    </xf>
    <xf numFmtId="0" fontId="17" fillId="0" borderId="0" xfId="107" applyFont="1" applyAlignment="1">
      <alignment horizontal="left" vertical="center"/>
    </xf>
    <xf numFmtId="0" fontId="17" fillId="27" borderId="33" xfId="107" applyFont="1" applyFill="1" applyBorder="1" applyAlignment="1">
      <alignment horizontal="center" vertical="center" wrapText="1"/>
    </xf>
    <xf numFmtId="0" fontId="17" fillId="35" borderId="64" xfId="107" applyFont="1" applyFill="1" applyBorder="1" applyAlignment="1">
      <alignment horizontal="left" vertical="center" wrapText="1"/>
    </xf>
    <xf numFmtId="0" fontId="17" fillId="35" borderId="65" xfId="107" applyFont="1" applyFill="1" applyBorder="1" applyAlignment="1">
      <alignment horizontal="left" vertical="center" wrapText="1"/>
    </xf>
    <xf numFmtId="0" fontId="17" fillId="35" borderId="59" xfId="107" applyFont="1" applyFill="1" applyBorder="1" applyAlignment="1">
      <alignment horizontal="left" vertical="center" wrapText="1"/>
    </xf>
    <xf numFmtId="0" fontId="13" fillId="0" borderId="10" xfId="107"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7" xfId="107" applyBorder="1" applyAlignment="1">
      <alignment horizontal="center" vertical="center" wrapText="1"/>
    </xf>
    <xf numFmtId="0" fontId="13" fillId="0" borderId="108" xfId="107" applyBorder="1" applyAlignment="1">
      <alignment horizontal="center" vertical="center" wrapText="1"/>
    </xf>
    <xf numFmtId="0" fontId="13" fillId="0" borderId="109" xfId="107" applyBorder="1" applyAlignment="1">
      <alignment horizontal="center" vertical="center" wrapText="1"/>
    </xf>
    <xf numFmtId="0" fontId="16" fillId="35" borderId="71" xfId="107" applyFont="1" applyFill="1" applyBorder="1" applyAlignment="1">
      <alignment horizontal="center" vertical="center" wrapText="1"/>
    </xf>
    <xf numFmtId="0" fontId="13" fillId="0" borderId="10" xfId="107" applyBorder="1" applyAlignment="1" applyProtection="1">
      <alignment horizontal="center" vertical="center" wrapText="1"/>
      <protection locked="0"/>
    </xf>
    <xf numFmtId="0" fontId="97" fillId="0" borderId="0" xfId="0" applyFont="1" applyAlignment="1">
      <alignment horizontal="left" vertical="center" wrapText="1"/>
    </xf>
    <xf numFmtId="0" fontId="97" fillId="0" borderId="108" xfId="0" applyFont="1" applyBorder="1" applyAlignment="1">
      <alignment horizontal="left" vertical="center" wrapText="1"/>
    </xf>
    <xf numFmtId="0" fontId="13" fillId="0" borderId="10" xfId="107" applyBorder="1" applyAlignment="1">
      <alignment horizontal="center" vertical="center" wrapText="1"/>
    </xf>
    <xf numFmtId="0" fontId="13" fillId="0" borderId="37" xfId="107" applyBorder="1" applyAlignment="1">
      <alignment horizontal="center" vertical="center" wrapText="1"/>
    </xf>
    <xf numFmtId="0" fontId="13" fillId="0" borderId="10" xfId="107" applyBorder="1" applyAlignment="1">
      <alignment horizontal="center" vertical="center"/>
    </xf>
    <xf numFmtId="0" fontId="13" fillId="0" borderId="37" xfId="107" applyBorder="1" applyAlignment="1">
      <alignment horizontal="center" vertical="center"/>
    </xf>
    <xf numFmtId="0" fontId="13" fillId="0" borderId="22" xfId="107" applyBorder="1" applyAlignment="1">
      <alignment horizontal="center" vertical="center"/>
    </xf>
    <xf numFmtId="0" fontId="13" fillId="0" borderId="24" xfId="107" applyBorder="1" applyAlignment="1">
      <alignment horizontal="center" vertical="center"/>
    </xf>
    <xf numFmtId="0" fontId="13" fillId="29" borderId="42" xfId="71" applyFont="1" applyFill="1" applyBorder="1" applyAlignment="1" applyProtection="1">
      <alignment horizontal="center" vertical="center"/>
      <protection locked="0"/>
    </xf>
    <xf numFmtId="0" fontId="13" fillId="29" borderId="20" xfId="71" applyFont="1" applyFill="1" applyBorder="1" applyAlignment="1" applyProtection="1">
      <alignment horizontal="center" vertical="center"/>
      <protection locked="0"/>
    </xf>
    <xf numFmtId="0" fontId="13" fillId="29" borderId="18" xfId="71" applyFont="1" applyFill="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0" fontId="13" fillId="0" borderId="24" xfId="107" applyBorder="1" applyAlignment="1">
      <alignment horizontal="center" vertical="center" wrapText="1"/>
    </xf>
    <xf numFmtId="0" fontId="0" fillId="0" borderId="4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8" fillId="35" borderId="39" xfId="0" applyFont="1" applyFill="1" applyBorder="1" applyAlignment="1">
      <alignment horizontal="left" vertical="center"/>
    </xf>
    <xf numFmtId="0" fontId="68" fillId="35" borderId="47" xfId="0" applyFont="1" applyFill="1" applyBorder="1" applyAlignment="1">
      <alignment horizontal="left" vertical="center"/>
    </xf>
    <xf numFmtId="0" fontId="68" fillId="35" borderId="54" xfId="0" applyFont="1" applyFill="1" applyBorder="1" applyAlignment="1">
      <alignment horizontal="left" vertical="center"/>
    </xf>
    <xf numFmtId="0" fontId="62" fillId="0" borderId="46" xfId="0" applyFont="1" applyBorder="1" applyAlignment="1" applyProtection="1">
      <alignment horizontal="center" vertical="center"/>
      <protection locked="0"/>
    </xf>
    <xf numFmtId="0" fontId="68" fillId="35" borderId="88" xfId="0" applyFont="1" applyFill="1" applyBorder="1" applyAlignment="1">
      <alignment horizontal="left" vertical="center"/>
    </xf>
    <xf numFmtId="0" fontId="68" fillId="35" borderId="36" xfId="0" applyFont="1" applyFill="1" applyBorder="1" applyAlignment="1">
      <alignment horizontal="left" vertical="center"/>
    </xf>
    <xf numFmtId="0" fontId="68" fillId="35" borderId="89" xfId="0" applyFont="1" applyFill="1" applyBorder="1" applyAlignment="1">
      <alignment horizontal="left" vertical="center"/>
    </xf>
    <xf numFmtId="0" fontId="0" fillId="0" borderId="91" xfId="0" applyBorder="1" applyAlignment="1" applyProtection="1">
      <alignment horizontal="center" vertical="center"/>
      <protection locked="0"/>
    </xf>
    <xf numFmtId="0" fontId="65" fillId="35" borderId="47" xfId="0" applyFont="1" applyFill="1" applyBorder="1" applyAlignment="1">
      <alignment horizontal="left" vertical="center"/>
    </xf>
    <xf numFmtId="0" fontId="0" fillId="0" borderId="14" xfId="0" applyBorder="1" applyAlignment="1">
      <alignment horizontal="left" vertical="center"/>
    </xf>
    <xf numFmtId="0" fontId="0" fillId="0" borderId="89" xfId="0" applyBorder="1" applyAlignment="1">
      <alignment horizontal="left" vertical="center"/>
    </xf>
    <xf numFmtId="0" fontId="68" fillId="27" borderId="88" xfId="0" applyFont="1" applyFill="1" applyBorder="1" applyAlignment="1">
      <alignment horizontal="center" vertical="center"/>
    </xf>
    <xf numFmtId="0" fontId="0" fillId="0" borderId="36" xfId="0" applyBorder="1" applyAlignment="1">
      <alignment horizontal="center" vertical="center"/>
    </xf>
    <xf numFmtId="0" fontId="0" fillId="0" borderId="89" xfId="0" applyBorder="1" applyAlignment="1">
      <alignment vertical="center"/>
    </xf>
    <xf numFmtId="0" fontId="0" fillId="0" borderId="11" xfId="0" applyBorder="1" applyAlignment="1">
      <alignment horizontal="center" vertical="center"/>
    </xf>
    <xf numFmtId="0" fontId="0" fillId="0" borderId="46" xfId="0" applyBorder="1" applyAlignment="1">
      <alignment horizontal="center" vertical="center"/>
    </xf>
    <xf numFmtId="0" fontId="68" fillId="35" borderId="39" xfId="0" applyFont="1" applyFill="1" applyBorder="1" applyAlignment="1">
      <alignment horizontal="center" vertical="center"/>
    </xf>
    <xf numFmtId="0" fontId="0" fillId="0" borderId="47" xfId="0" applyBorder="1" applyAlignment="1">
      <alignment horizontal="center" vertical="center"/>
    </xf>
    <xf numFmtId="0" fontId="0" fillId="0" borderId="54" xfId="0" applyBorder="1" applyAlignment="1">
      <alignment horizontal="center" vertical="center"/>
    </xf>
    <xf numFmtId="49" fontId="99" fillId="0" borderId="0" xfId="0" applyNumberFormat="1" applyFont="1" applyAlignment="1">
      <alignment vertical="center" wrapText="1"/>
    </xf>
    <xf numFmtId="0" fontId="17" fillId="0" borderId="27" xfId="107" applyFont="1" applyBorder="1" applyAlignment="1">
      <alignment horizontal="left" vertical="center" wrapText="1"/>
    </xf>
    <xf numFmtId="0" fontId="14" fillId="0" borderId="87" xfId="0" applyFont="1" applyBorder="1" applyAlignment="1">
      <alignment horizontal="left" vertical="center" wrapText="1"/>
    </xf>
    <xf numFmtId="0" fontId="14" fillId="0" borderId="34" xfId="0" applyFont="1" applyBorder="1" applyAlignment="1">
      <alignment horizontal="left" vertical="center" wrapText="1"/>
    </xf>
    <xf numFmtId="0" fontId="13" fillId="0" borderId="30" xfId="107" applyBorder="1" applyAlignment="1">
      <alignment vertical="center" wrapText="1"/>
    </xf>
    <xf numFmtId="0" fontId="0" fillId="0" borderId="40" xfId="0" applyBorder="1" applyAlignment="1">
      <alignment vertical="center" wrapText="1"/>
    </xf>
    <xf numFmtId="0" fontId="0" fillId="0" borderId="86" xfId="0" applyBorder="1" applyAlignment="1">
      <alignment vertical="center" wrapText="1"/>
    </xf>
    <xf numFmtId="0" fontId="17" fillId="27" borderId="39" xfId="107" applyFont="1" applyFill="1" applyBorder="1" applyAlignment="1">
      <alignment horizontal="left" vertical="center" wrapText="1"/>
    </xf>
    <xf numFmtId="0" fontId="17" fillId="27" borderId="119" xfId="107" applyFont="1" applyFill="1" applyBorder="1" applyAlignment="1">
      <alignment horizontal="left" vertical="center" wrapText="1"/>
    </xf>
    <xf numFmtId="0" fontId="17" fillId="0" borderId="87" xfId="107" applyFont="1" applyBorder="1" applyAlignment="1">
      <alignment horizontal="left" vertical="center" wrapText="1"/>
    </xf>
    <xf numFmtId="0" fontId="17" fillId="0" borderId="49" xfId="107" applyFont="1" applyBorder="1" applyAlignment="1">
      <alignment horizontal="left" vertical="center" wrapText="1"/>
    </xf>
    <xf numFmtId="0" fontId="13" fillId="0" borderId="55" xfId="0" applyFont="1" applyBorder="1" applyAlignment="1">
      <alignment horizontal="left" vertical="center" wrapText="1"/>
    </xf>
    <xf numFmtId="0" fontId="13" fillId="0" borderId="55" xfId="0" applyFont="1" applyBorder="1" applyAlignment="1">
      <alignment horizontal="left" vertical="center"/>
    </xf>
    <xf numFmtId="0" fontId="13" fillId="0" borderId="56" xfId="0" applyFont="1" applyBorder="1" applyAlignment="1">
      <alignment horizontal="left" vertical="center"/>
    </xf>
    <xf numFmtId="0" fontId="13" fillId="29" borderId="20" xfId="0" applyFont="1" applyFill="1" applyBorder="1" applyAlignment="1" applyProtection="1">
      <alignment horizontal="center" vertical="center"/>
      <protection locked="0"/>
    </xf>
    <xf numFmtId="0" fontId="13" fillId="29" borderId="18" xfId="0" applyFont="1" applyFill="1" applyBorder="1" applyAlignment="1" applyProtection="1">
      <alignment horizontal="center" vertical="center"/>
      <protection locked="0"/>
    </xf>
    <xf numFmtId="0" fontId="13" fillId="0" borderId="30" xfId="107" applyBorder="1" applyAlignment="1" applyProtection="1">
      <alignment horizontal="center" vertical="center" wrapText="1"/>
      <protection locked="0"/>
    </xf>
    <xf numFmtId="0" fontId="13" fillId="0" borderId="40" xfId="107" applyBorder="1" applyAlignment="1" applyProtection="1">
      <alignment horizontal="center" vertical="center" wrapText="1"/>
      <protection locked="0"/>
    </xf>
    <xf numFmtId="0" fontId="13" fillId="0" borderId="41" xfId="107" applyBorder="1" applyAlignment="1" applyProtection="1">
      <alignment horizontal="center" vertical="center" wrapText="1"/>
      <protection locked="0"/>
    </xf>
    <xf numFmtId="0" fontId="13" fillId="0" borderId="11" xfId="107" applyBorder="1" applyAlignment="1">
      <alignment horizontal="left" vertical="center" wrapText="1"/>
    </xf>
    <xf numFmtId="0" fontId="13" fillId="0" borderId="46" xfId="107" applyBorder="1" applyAlignment="1">
      <alignment horizontal="left" vertical="center" wrapText="1"/>
    </xf>
    <xf numFmtId="0" fontId="13" fillId="0" borderId="29" xfId="107" applyBorder="1" applyAlignment="1">
      <alignment horizontal="left" vertical="center" wrapText="1"/>
    </xf>
    <xf numFmtId="0" fontId="13" fillId="0" borderId="96" xfId="107" applyBorder="1" applyAlignment="1">
      <alignment horizontal="left" vertical="center" wrapText="1"/>
    </xf>
    <xf numFmtId="0" fontId="13" fillId="0" borderId="53" xfId="107" applyBorder="1" applyAlignment="1" applyProtection="1">
      <alignment horizontal="center" vertical="center" wrapText="1"/>
      <protection locked="0"/>
    </xf>
    <xf numFmtId="0" fontId="13" fillId="0" borderId="0" xfId="107" applyAlignment="1" applyProtection="1">
      <alignment horizontal="center" vertical="center" wrapText="1"/>
      <protection locked="0"/>
    </xf>
    <xf numFmtId="0" fontId="13" fillId="29" borderId="42" xfId="0" applyFont="1" applyFill="1" applyBorder="1" applyAlignment="1" applyProtection="1">
      <alignment horizontal="center" vertical="center"/>
      <protection locked="0"/>
    </xf>
    <xf numFmtId="0" fontId="13" fillId="0" borderId="28" xfId="107" applyBorder="1" applyAlignment="1">
      <alignment horizontal="left" vertical="center" wrapText="1"/>
    </xf>
    <xf numFmtId="0" fontId="13" fillId="0" borderId="70" xfId="107" applyBorder="1" applyAlignment="1">
      <alignment horizontal="left" vertical="center" wrapText="1"/>
    </xf>
    <xf numFmtId="0" fontId="13" fillId="0" borderId="75" xfId="107" applyBorder="1" applyAlignment="1">
      <alignment horizontal="left" vertical="center" wrapText="1"/>
    </xf>
    <xf numFmtId="0" fontId="13" fillId="0" borderId="56" xfId="107" applyBorder="1" applyAlignment="1">
      <alignment horizontal="left" vertical="center" wrapText="1"/>
    </xf>
    <xf numFmtId="0" fontId="13" fillId="0" borderId="53" xfId="107" applyBorder="1" applyAlignment="1">
      <alignment horizontal="center" vertical="center" wrapText="1"/>
    </xf>
    <xf numFmtId="0" fontId="13" fillId="0" borderId="75" xfId="107" applyBorder="1" applyAlignment="1">
      <alignment horizontal="center" vertical="center" wrapText="1"/>
    </xf>
    <xf numFmtId="0" fontId="17" fillId="27" borderId="47" xfId="107" applyFont="1" applyFill="1" applyBorder="1" applyAlignment="1">
      <alignment horizontal="left" vertical="center" wrapText="1"/>
    </xf>
    <xf numFmtId="0" fontId="13" fillId="0" borderId="41" xfId="107" applyBorder="1" applyAlignment="1">
      <alignment horizontal="left" vertical="center" wrapText="1"/>
    </xf>
    <xf numFmtId="0" fontId="13" fillId="0" borderId="28" xfId="1153" applyBorder="1" applyAlignment="1">
      <alignment horizontal="center" vertical="center" wrapText="1"/>
    </xf>
    <xf numFmtId="0" fontId="13" fillId="0" borderId="78" xfId="1153" applyBorder="1" applyAlignment="1">
      <alignment horizontal="center" vertical="center" wrapText="1"/>
    </xf>
    <xf numFmtId="0" fontId="28" fillId="26" borderId="39" xfId="107" applyFont="1" applyFill="1" applyBorder="1" applyAlignment="1">
      <alignment vertical="center" wrapText="1"/>
    </xf>
    <xf numFmtId="0" fontId="28" fillId="26" borderId="47" xfId="107" applyFont="1" applyFill="1" applyBorder="1" applyAlignment="1">
      <alignment vertical="center" wrapText="1"/>
    </xf>
    <xf numFmtId="0" fontId="23" fillId="0" borderId="0" xfId="107" applyFont="1" applyAlignment="1">
      <alignment horizontal="left" vertical="top" wrapText="1"/>
    </xf>
    <xf numFmtId="0" fontId="13" fillId="0" borderId="0" xfId="1153" applyAlignment="1">
      <alignment wrapText="1"/>
    </xf>
    <xf numFmtId="0" fontId="13" fillId="0" borderId="0" xfId="107"/>
    <xf numFmtId="0" fontId="13" fillId="0" borderId="11" xfId="1153" applyBorder="1" applyAlignment="1">
      <alignment horizontal="center" vertical="center" wrapText="1"/>
    </xf>
    <xf numFmtId="0" fontId="13" fillId="0" borderId="45" xfId="1153" applyBorder="1" applyAlignment="1">
      <alignment horizontal="center" vertical="center" wrapText="1"/>
    </xf>
    <xf numFmtId="0" fontId="28" fillId="27" borderId="16" xfId="107" applyFont="1" applyFill="1" applyBorder="1" applyAlignment="1">
      <alignment horizontal="center" vertical="center" wrapText="1"/>
    </xf>
    <xf numFmtId="0" fontId="28" fillId="27" borderId="59" xfId="107" applyFont="1" applyFill="1" applyBorder="1" applyAlignment="1">
      <alignment horizontal="center" vertical="center" wrapText="1"/>
    </xf>
    <xf numFmtId="0" fontId="23" fillId="0" borderId="11" xfId="107" applyFont="1" applyBorder="1" applyAlignment="1">
      <alignment horizontal="center" vertical="center" wrapText="1"/>
    </xf>
    <xf numFmtId="0" fontId="23" fillId="0" borderId="45" xfId="107" applyFont="1" applyBorder="1" applyAlignment="1">
      <alignment horizontal="center" vertical="center" wrapText="1"/>
    </xf>
    <xf numFmtId="0" fontId="16" fillId="0" borderId="10" xfId="1144" applyFont="1" applyBorder="1" applyAlignment="1">
      <alignment vertical="center" wrapText="1"/>
    </xf>
    <xf numFmtId="0" fontId="16" fillId="0" borderId="30" xfId="1144" applyFont="1" applyBorder="1" applyAlignment="1">
      <alignment vertical="center" wrapText="1"/>
    </xf>
    <xf numFmtId="0" fontId="13" fillId="0" borderId="0" xfId="107" applyAlignment="1">
      <alignment horizontal="center" vertical="center" wrapText="1"/>
    </xf>
    <xf numFmtId="0" fontId="55" fillId="0" borderId="0" xfId="107" applyFont="1" applyAlignment="1">
      <alignment horizontal="left" vertical="center"/>
    </xf>
    <xf numFmtId="0" fontId="16" fillId="0" borderId="41" xfId="1144" applyFont="1" applyBorder="1" applyAlignment="1">
      <alignment vertical="center" wrapText="1"/>
    </xf>
    <xf numFmtId="0" fontId="13" fillId="29" borderId="20" xfId="107" applyFill="1" applyBorder="1" applyAlignment="1" applyProtection="1">
      <alignment horizontal="center" vertical="center" wrapText="1"/>
      <protection locked="0"/>
    </xf>
    <xf numFmtId="0" fontId="13" fillId="29" borderId="18" xfId="107" applyFill="1" applyBorder="1" applyAlignment="1" applyProtection="1">
      <alignment horizontal="center" vertical="center" wrapText="1"/>
      <protection locked="0"/>
    </xf>
    <xf numFmtId="0" fontId="62" fillId="0" borderId="25" xfId="1144" applyBorder="1" applyAlignment="1">
      <alignment horizontal="center" vertical="center"/>
    </xf>
    <xf numFmtId="0" fontId="62" fillId="0" borderId="0" xfId="1144" applyAlignment="1">
      <alignment horizontal="center" vertical="center"/>
    </xf>
    <xf numFmtId="0" fontId="62" fillId="0" borderId="55" xfId="1144" applyBorder="1" applyAlignment="1">
      <alignment horizontal="center" vertical="center"/>
    </xf>
    <xf numFmtId="0" fontId="16" fillId="0" borderId="0" xfId="107" applyFont="1" applyAlignment="1">
      <alignment wrapText="1"/>
    </xf>
    <xf numFmtId="0" fontId="65" fillId="35" borderId="91" xfId="108" applyFont="1" applyFill="1" applyBorder="1" applyAlignment="1">
      <alignment vertical="center"/>
    </xf>
    <xf numFmtId="0" fontId="65" fillId="35" borderId="46" xfId="108" applyFont="1" applyFill="1" applyBorder="1" applyAlignment="1">
      <alignment vertical="center"/>
    </xf>
    <xf numFmtId="0" fontId="67" fillId="27" borderId="64" xfId="107" applyFont="1" applyFill="1" applyBorder="1" applyAlignment="1">
      <alignment horizontal="left" vertical="center" wrapText="1"/>
    </xf>
    <xf numFmtId="0" fontId="67" fillId="27" borderId="65" xfId="107" applyFont="1" applyFill="1" applyBorder="1" applyAlignment="1">
      <alignment horizontal="left" vertical="center"/>
    </xf>
    <xf numFmtId="0" fontId="65" fillId="27" borderId="65" xfId="0" applyFont="1" applyFill="1" applyBorder="1"/>
    <xf numFmtId="0" fontId="17" fillId="27" borderId="64" xfId="107" applyFont="1" applyFill="1" applyBorder="1" applyAlignment="1">
      <alignment horizontal="left" vertical="center" wrapText="1"/>
    </xf>
    <xf numFmtId="0" fontId="17" fillId="27" borderId="65" xfId="107" applyFont="1" applyFill="1" applyBorder="1" applyAlignment="1">
      <alignment horizontal="left" vertical="center"/>
    </xf>
    <xf numFmtId="0" fontId="13" fillId="27" borderId="65" xfId="0" applyFont="1" applyFill="1" applyBorder="1"/>
    <xf numFmtId="0" fontId="17" fillId="0" borderId="0" xfId="107" applyFont="1" applyAlignment="1">
      <alignment horizontal="left" vertical="center" wrapText="1"/>
    </xf>
    <xf numFmtId="0" fontId="68" fillId="0" borderId="39" xfId="1146" applyFont="1" applyBorder="1" applyAlignment="1">
      <alignment horizontal="center" vertical="center"/>
    </xf>
    <xf numFmtId="0" fontId="68" fillId="0" borderId="47" xfId="1146" applyFont="1" applyBorder="1" applyAlignment="1">
      <alignment horizontal="center" vertical="center"/>
    </xf>
    <xf numFmtId="0" fontId="68" fillId="0" borderId="54" xfId="1146" applyFont="1" applyBorder="1" applyAlignment="1">
      <alignment horizontal="center" vertical="center"/>
    </xf>
    <xf numFmtId="0" fontId="68" fillId="0" borderId="64" xfId="1146" applyFont="1" applyBorder="1" applyAlignment="1">
      <alignment horizontal="center" vertical="center"/>
    </xf>
    <xf numFmtId="0" fontId="68" fillId="0" borderId="65" xfId="1146" applyFont="1" applyBorder="1" applyAlignment="1">
      <alignment horizontal="center" vertical="center"/>
    </xf>
    <xf numFmtId="0" fontId="68" fillId="0" borderId="59" xfId="1146" applyFont="1" applyBorder="1" applyAlignment="1">
      <alignment horizontal="center" vertical="center"/>
    </xf>
    <xf numFmtId="0" fontId="51" fillId="27" borderId="64" xfId="146" applyFont="1" applyFill="1" applyBorder="1" applyAlignment="1" applyProtection="1">
      <alignment horizontal="center" vertical="center"/>
    </xf>
    <xf numFmtId="0" fontId="51" fillId="27" borderId="65" xfId="146" applyFont="1" applyFill="1" applyBorder="1" applyAlignment="1" applyProtection="1">
      <alignment horizontal="center" vertical="center"/>
    </xf>
    <xf numFmtId="0" fontId="51" fillId="27" borderId="59" xfId="146" applyFont="1" applyFill="1" applyBorder="1" applyAlignment="1" applyProtection="1">
      <alignment horizontal="center" vertical="center"/>
    </xf>
    <xf numFmtId="0" fontId="91" fillId="37" borderId="88" xfId="1148" applyFont="1" applyFill="1" applyBorder="1" applyAlignment="1">
      <alignment horizontal="center" vertical="center"/>
    </xf>
    <xf numFmtId="0" fontId="91" fillId="37" borderId="36" xfId="1148" applyFont="1" applyFill="1" applyBorder="1" applyAlignment="1">
      <alignment horizontal="center" vertical="center"/>
    </xf>
    <xf numFmtId="0" fontId="68" fillId="37" borderId="36" xfId="1148" applyFont="1" applyFill="1" applyBorder="1" applyAlignment="1">
      <alignment horizontal="center" vertical="center"/>
    </xf>
    <xf numFmtId="0" fontId="68" fillId="37" borderId="89" xfId="1148" applyFont="1" applyFill="1" applyBorder="1" applyAlignment="1">
      <alignment horizontal="center" vertical="center"/>
    </xf>
    <xf numFmtId="0" fontId="68" fillId="37" borderId="97" xfId="1148" applyFont="1" applyFill="1" applyBorder="1" applyAlignment="1">
      <alignment horizontal="center" vertical="center"/>
    </xf>
    <xf numFmtId="0" fontId="68" fillId="37" borderId="108" xfId="1148" applyFont="1" applyFill="1" applyBorder="1" applyAlignment="1">
      <alignment horizontal="center" vertical="center"/>
    </xf>
    <xf numFmtId="0" fontId="68" fillId="37" borderId="109" xfId="1148" applyFont="1" applyFill="1" applyBorder="1" applyAlignment="1">
      <alignment horizontal="center" vertical="center"/>
    </xf>
    <xf numFmtId="0" fontId="61" fillId="37" borderId="10" xfId="1149" applyFont="1" applyFill="1" applyBorder="1" applyAlignment="1">
      <alignment horizontal="center"/>
    </xf>
    <xf numFmtId="0" fontId="61" fillId="37" borderId="11" xfId="1149" applyFont="1" applyFill="1" applyBorder="1" applyAlignment="1">
      <alignment horizontal="center"/>
    </xf>
    <xf numFmtId="0" fontId="61" fillId="37" borderId="46" xfId="1149" applyFont="1" applyFill="1" applyBorder="1" applyAlignment="1">
      <alignment horizontal="center"/>
    </xf>
    <xf numFmtId="0" fontId="16" fillId="0" borderId="32" xfId="1153" applyFont="1" applyBorder="1" applyAlignment="1">
      <alignment horizontal="left" vertical="center" wrapText="1"/>
    </xf>
    <xf numFmtId="0" fontId="16" fillId="0" borderId="20" xfId="1153" applyFont="1" applyBorder="1" applyAlignment="1">
      <alignment horizontal="left" vertical="center" wrapText="1"/>
    </xf>
    <xf numFmtId="0" fontId="13" fillId="29" borderId="20" xfId="71" applyFont="1" applyFill="1" applyBorder="1" applyAlignment="1" applyProtection="1">
      <alignment horizontal="center" vertical="center" wrapText="1"/>
      <protection locked="0"/>
    </xf>
    <xf numFmtId="0" fontId="13" fillId="29" borderId="13" xfId="71" applyFont="1" applyFill="1" applyBorder="1" applyAlignment="1" applyProtection="1">
      <alignment horizontal="center" vertical="center" wrapText="1"/>
      <protection locked="0"/>
    </xf>
    <xf numFmtId="0" fontId="16" fillId="27" borderId="39" xfId="107" applyFont="1" applyFill="1" applyBorder="1" applyAlignment="1">
      <alignment horizontal="center" vertical="center" wrapText="1"/>
    </xf>
    <xf numFmtId="0" fontId="16" fillId="27" borderId="47" xfId="107" applyFont="1" applyFill="1" applyBorder="1" applyAlignment="1">
      <alignment horizontal="center" vertical="center" wrapText="1"/>
    </xf>
    <xf numFmtId="0" fontId="16" fillId="27" borderId="54" xfId="107" applyFont="1" applyFill="1" applyBorder="1" applyAlignment="1">
      <alignment horizontal="center" vertical="center" wrapText="1"/>
    </xf>
    <xf numFmtId="0" fontId="13" fillId="0" borderId="15" xfId="107" applyBorder="1" applyAlignment="1">
      <alignment horizontal="center" vertical="center" wrapText="1"/>
    </xf>
    <xf numFmtId="0" fontId="13" fillId="0" borderId="16" xfId="107" applyBorder="1" applyAlignment="1">
      <alignment horizontal="center" vertical="center" wrapText="1"/>
    </xf>
    <xf numFmtId="0" fontId="50" fillId="29" borderId="42" xfId="71" applyFont="1"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13" fillId="0" borderId="17" xfId="107" applyBorder="1" applyAlignment="1">
      <alignment horizontal="center" vertical="center" wrapText="1"/>
    </xf>
    <xf numFmtId="0" fontId="13" fillId="0" borderId="11" xfId="107" applyBorder="1" applyAlignment="1">
      <alignment horizontal="center" vertical="center" wrapText="1"/>
    </xf>
    <xf numFmtId="0" fontId="13" fillId="0" borderId="23" xfId="107" applyBorder="1" applyAlignment="1">
      <alignment horizontal="center" vertical="center" wrapText="1"/>
    </xf>
    <xf numFmtId="0" fontId="13" fillId="0" borderId="29" xfId="107" applyBorder="1" applyAlignment="1">
      <alignment horizontal="center" vertical="center" wrapText="1"/>
    </xf>
    <xf numFmtId="0" fontId="17" fillId="0" borderId="108" xfId="107" applyFont="1" applyBorder="1" applyAlignment="1">
      <alignment horizontal="left" vertical="center"/>
    </xf>
    <xf numFmtId="0" fontId="16" fillId="27" borderId="64" xfId="107" applyFont="1" applyFill="1" applyBorder="1" applyAlignment="1">
      <alignment horizontal="center" vertical="center"/>
    </xf>
    <xf numFmtId="0" fontId="16" fillId="27" borderId="65" xfId="107" applyFont="1" applyFill="1" applyBorder="1" applyAlignment="1">
      <alignment horizontal="center" vertical="center"/>
    </xf>
    <xf numFmtId="0" fontId="16" fillId="28" borderId="17" xfId="107" applyFont="1" applyFill="1" applyBorder="1" applyAlignment="1">
      <alignment horizontal="center" vertical="center"/>
    </xf>
    <xf numFmtId="0" fontId="16" fillId="28" borderId="10" xfId="107" applyFont="1" applyFill="1" applyBorder="1" applyAlignment="1">
      <alignment horizontal="center" vertical="center"/>
    </xf>
    <xf numFmtId="0" fontId="16" fillId="28" borderId="11" xfId="107" applyFont="1" applyFill="1" applyBorder="1" applyAlignment="1">
      <alignment horizontal="center" vertical="center"/>
    </xf>
    <xf numFmtId="0" fontId="13" fillId="37" borderId="42" xfId="71" applyFont="1" applyFill="1" applyBorder="1" applyAlignment="1" applyProtection="1">
      <alignment horizontal="center" vertical="center" wrapText="1"/>
      <protection locked="0"/>
    </xf>
    <xf numFmtId="0" fontId="13" fillId="29" borderId="20" xfId="0" applyFont="1" applyFill="1" applyBorder="1" applyAlignment="1" applyProtection="1">
      <alignment horizontal="center" vertical="center"/>
    </xf>
    <xf numFmtId="0" fontId="13" fillId="29" borderId="18" xfId="0" applyFont="1" applyFill="1" applyBorder="1" applyAlignment="1" applyProtection="1">
      <alignment horizontal="center" vertical="center"/>
    </xf>
  </cellXfs>
  <cellStyles count="1155">
    <cellStyle name="20 % - Akzent2 2" xfId="1" xr:uid="{00000000-0005-0000-0000-000000000000}"/>
    <cellStyle name="20 % - Akzent2 2 2" xfId="2" xr:uid="{00000000-0005-0000-0000-000001000000}"/>
    <cellStyle name="20% - Akzent1" xfId="3" xr:uid="{00000000-0005-0000-0000-000002000000}"/>
    <cellStyle name="20% - Akzent1 2" xfId="4" xr:uid="{00000000-0005-0000-0000-000003000000}"/>
    <cellStyle name="20% - Akzent1 3" xfId="5" xr:uid="{00000000-0005-0000-0000-000004000000}"/>
    <cellStyle name="20% - Akzent2" xfId="146" xr:uid="{00000000-0005-0000-0000-000005000000}"/>
    <cellStyle name="20% - Akzent2 2" xfId="6" xr:uid="{00000000-0005-0000-0000-000006000000}"/>
    <cellStyle name="20% - Akzent2 2 2" xfId="7" xr:uid="{00000000-0005-0000-0000-000007000000}"/>
    <cellStyle name="20% - Akzent2 2 3" xfId="8" xr:uid="{00000000-0005-0000-0000-000008000000}"/>
    <cellStyle name="20% - Akzent2 3" xfId="9" xr:uid="{00000000-0005-0000-0000-000009000000}"/>
    <cellStyle name="20% - Akzent3" xfId="10" xr:uid="{00000000-0005-0000-0000-00000A000000}"/>
    <cellStyle name="20% - Akzent3 2" xfId="11" xr:uid="{00000000-0005-0000-0000-00000B000000}"/>
    <cellStyle name="20% - Akzent3 3" xfId="12" xr:uid="{00000000-0005-0000-0000-00000C000000}"/>
    <cellStyle name="20% - Akzent4" xfId="13" xr:uid="{00000000-0005-0000-0000-00000D000000}"/>
    <cellStyle name="20% - Akzent4 2" xfId="14" xr:uid="{00000000-0005-0000-0000-00000E000000}"/>
    <cellStyle name="20% - Akzent4 3" xfId="15" xr:uid="{00000000-0005-0000-0000-00000F000000}"/>
    <cellStyle name="20% - Akzent5" xfId="16" xr:uid="{00000000-0005-0000-0000-000010000000}"/>
    <cellStyle name="20% - Akzent5 2" xfId="17" xr:uid="{00000000-0005-0000-0000-000011000000}"/>
    <cellStyle name="20% - Akzent5 3" xfId="18" xr:uid="{00000000-0005-0000-0000-000012000000}"/>
    <cellStyle name="20% - Akzent6" xfId="19" xr:uid="{00000000-0005-0000-0000-000013000000}"/>
    <cellStyle name="20% - Akzent6 2" xfId="20" xr:uid="{00000000-0005-0000-0000-000014000000}"/>
    <cellStyle name="20% - Akzent6 3" xfId="21" xr:uid="{00000000-0005-0000-0000-000015000000}"/>
    <cellStyle name="40% - Akzent1" xfId="22" xr:uid="{00000000-0005-0000-0000-000016000000}"/>
    <cellStyle name="40% - Akzent1 2" xfId="23" xr:uid="{00000000-0005-0000-0000-000017000000}"/>
    <cellStyle name="40% - Akzent1 3" xfId="24" xr:uid="{00000000-0005-0000-0000-000018000000}"/>
    <cellStyle name="40% - Akzent2" xfId="25" xr:uid="{00000000-0005-0000-0000-000019000000}"/>
    <cellStyle name="40% - Akzent2 2" xfId="26" xr:uid="{00000000-0005-0000-0000-00001A000000}"/>
    <cellStyle name="40% - Akzent2 3" xfId="27" xr:uid="{00000000-0005-0000-0000-00001B000000}"/>
    <cellStyle name="40% - Akzent3" xfId="28" xr:uid="{00000000-0005-0000-0000-00001C000000}"/>
    <cellStyle name="40% - Akzent3 2" xfId="29" xr:uid="{00000000-0005-0000-0000-00001D000000}"/>
    <cellStyle name="40% - Akzent3 3" xfId="30" xr:uid="{00000000-0005-0000-0000-00001E000000}"/>
    <cellStyle name="40% - Akzent4" xfId="31" xr:uid="{00000000-0005-0000-0000-00001F000000}"/>
    <cellStyle name="40% - Akzent4 2" xfId="32" xr:uid="{00000000-0005-0000-0000-000020000000}"/>
    <cellStyle name="40% - Akzent4 3" xfId="33" xr:uid="{00000000-0005-0000-0000-000021000000}"/>
    <cellStyle name="40% - Akzent5" xfId="34" xr:uid="{00000000-0005-0000-0000-000022000000}"/>
    <cellStyle name="40% - Akzent5 2" xfId="35" xr:uid="{00000000-0005-0000-0000-000023000000}"/>
    <cellStyle name="40% - Akzent5 3" xfId="36" xr:uid="{00000000-0005-0000-0000-000024000000}"/>
    <cellStyle name="40% - Akzent6" xfId="37" xr:uid="{00000000-0005-0000-0000-000025000000}"/>
    <cellStyle name="40% - Akzent6 2" xfId="38" xr:uid="{00000000-0005-0000-0000-000026000000}"/>
    <cellStyle name="40% - Akzent6 3" xfId="39" xr:uid="{00000000-0005-0000-0000-000027000000}"/>
    <cellStyle name="60% - Akzent1" xfId="40" xr:uid="{00000000-0005-0000-0000-000028000000}"/>
    <cellStyle name="60% - Akzent2" xfId="41" xr:uid="{00000000-0005-0000-0000-000029000000}"/>
    <cellStyle name="60% - Akzent3" xfId="42" xr:uid="{00000000-0005-0000-0000-00002A000000}"/>
    <cellStyle name="60% - Akzent4" xfId="43" xr:uid="{00000000-0005-0000-0000-00002B000000}"/>
    <cellStyle name="60% - Akzent5" xfId="44" xr:uid="{00000000-0005-0000-0000-00002C000000}"/>
    <cellStyle name="60% - Akzent6" xfId="45" xr:uid="{00000000-0005-0000-0000-00002D000000}"/>
    <cellStyle name="Akzent1" xfId="46" xr:uid="{00000000-0005-0000-0000-00002E000000}"/>
    <cellStyle name="Akzent1 2" xfId="47" xr:uid="{00000000-0005-0000-0000-00002F000000}"/>
    <cellStyle name="Akzent1 3" xfId="633" xr:uid="{00000000-0005-0000-0000-000030000000}"/>
    <cellStyle name="Akzent2" xfId="48" xr:uid="{00000000-0005-0000-0000-000031000000}"/>
    <cellStyle name="Akzent2 2" xfId="49" xr:uid="{00000000-0005-0000-0000-000032000000}"/>
    <cellStyle name="Akzent2 3" xfId="634" xr:uid="{00000000-0005-0000-0000-000033000000}"/>
    <cellStyle name="Akzent3" xfId="50" xr:uid="{00000000-0005-0000-0000-000034000000}"/>
    <cellStyle name="Akzent3 2" xfId="51" xr:uid="{00000000-0005-0000-0000-000035000000}"/>
    <cellStyle name="Akzent3 3" xfId="635" xr:uid="{00000000-0005-0000-0000-000036000000}"/>
    <cellStyle name="Akzent4" xfId="52" xr:uid="{00000000-0005-0000-0000-000037000000}"/>
    <cellStyle name="Akzent4 2" xfId="53" xr:uid="{00000000-0005-0000-0000-000038000000}"/>
    <cellStyle name="Akzent4 3" xfId="636" xr:uid="{00000000-0005-0000-0000-000039000000}"/>
    <cellStyle name="Akzent5" xfId="54" xr:uid="{00000000-0005-0000-0000-00003A000000}"/>
    <cellStyle name="Akzent5 2" xfId="55" xr:uid="{00000000-0005-0000-0000-00003B000000}"/>
    <cellStyle name="Akzent5 3" xfId="637" xr:uid="{00000000-0005-0000-0000-00003C000000}"/>
    <cellStyle name="Akzent6" xfId="56" xr:uid="{00000000-0005-0000-0000-00003D000000}"/>
    <cellStyle name="Akzent6 2" xfId="57" xr:uid="{00000000-0005-0000-0000-00003E000000}"/>
    <cellStyle name="Akzent6 3" xfId="638" xr:uid="{00000000-0005-0000-0000-00003F000000}"/>
    <cellStyle name="Ausgabe" xfId="58" xr:uid="{00000000-0005-0000-0000-000040000000}"/>
    <cellStyle name="Ausgabe 2" xfId="59" xr:uid="{00000000-0005-0000-0000-000041000000}"/>
    <cellStyle name="Ausgabe 3" xfId="60" xr:uid="{00000000-0005-0000-0000-000042000000}"/>
    <cellStyle name="Ausgabe 4" xfId="639" xr:uid="{00000000-0005-0000-0000-000043000000}"/>
    <cellStyle name="Berechnung" xfId="61" xr:uid="{00000000-0005-0000-0000-000044000000}"/>
    <cellStyle name="Berechnung 2" xfId="62" xr:uid="{00000000-0005-0000-0000-000045000000}"/>
    <cellStyle name="Berechnung 3" xfId="640" xr:uid="{00000000-0005-0000-0000-000046000000}"/>
    <cellStyle name="Dezimal 2" xfId="63" xr:uid="{00000000-0005-0000-0000-000047000000}"/>
    <cellStyle name="Dezimal 2 10" xfId="898" xr:uid="{00000000-0005-0000-0000-000048000000}"/>
    <cellStyle name="Dezimal 2 2" xfId="64" xr:uid="{00000000-0005-0000-0000-000049000000}"/>
    <cellStyle name="Dezimal 2 2 2" xfId="65" xr:uid="{00000000-0005-0000-0000-00004A000000}"/>
    <cellStyle name="Dezimal 2 2 2 2" xfId="149" xr:uid="{00000000-0005-0000-0000-00004B000000}"/>
    <cellStyle name="Dezimal 2 2 2 2 2" xfId="230" xr:uid="{00000000-0005-0000-0000-00004C000000}"/>
    <cellStyle name="Dezimal 2 2 2 2 2 2" xfId="593" xr:uid="{00000000-0005-0000-0000-00004D000000}"/>
    <cellStyle name="Dezimal 2 2 2 2 2 3" xfId="860" xr:uid="{00000000-0005-0000-0000-00004E000000}"/>
    <cellStyle name="Dezimal 2 2 2 2 2 4" xfId="1104" xr:uid="{00000000-0005-0000-0000-00004F000000}"/>
    <cellStyle name="Dezimal 2 2 2 2 3" xfId="351" xr:uid="{00000000-0005-0000-0000-000050000000}"/>
    <cellStyle name="Dezimal 2 2 2 2 4" xfId="472" xr:uid="{00000000-0005-0000-0000-000051000000}"/>
    <cellStyle name="Dezimal 2 2 2 2 5" xfId="739" xr:uid="{00000000-0005-0000-0000-000052000000}"/>
    <cellStyle name="Dezimal 2 2 2 2 6" xfId="983" xr:uid="{00000000-0005-0000-0000-000053000000}"/>
    <cellStyle name="Dezimal 2 2 2 3" xfId="187" xr:uid="{00000000-0005-0000-0000-000054000000}"/>
    <cellStyle name="Dezimal 2 2 2 3 2" xfId="310" xr:uid="{00000000-0005-0000-0000-000055000000}"/>
    <cellStyle name="Dezimal 2 2 2 3 2 2" xfId="552" xr:uid="{00000000-0005-0000-0000-000056000000}"/>
    <cellStyle name="Dezimal 2 2 2 3 2 3" xfId="819" xr:uid="{00000000-0005-0000-0000-000057000000}"/>
    <cellStyle name="Dezimal 2 2 2 3 2 4" xfId="1063" xr:uid="{00000000-0005-0000-0000-000058000000}"/>
    <cellStyle name="Dezimal 2 2 2 3 3" xfId="431" xr:uid="{00000000-0005-0000-0000-000059000000}"/>
    <cellStyle name="Dezimal 2 2 2 3 4" xfId="698" xr:uid="{00000000-0005-0000-0000-00005A000000}"/>
    <cellStyle name="Dezimal 2 2 2 3 5" xfId="942" xr:uid="{00000000-0005-0000-0000-00005B000000}"/>
    <cellStyle name="Dezimal 2 2 2 4" xfId="270" xr:uid="{00000000-0005-0000-0000-00005C000000}"/>
    <cellStyle name="Dezimal 2 2 2 4 2" xfId="512" xr:uid="{00000000-0005-0000-0000-00005D000000}"/>
    <cellStyle name="Dezimal 2 2 2 4 3" xfId="779" xr:uid="{00000000-0005-0000-0000-00005E000000}"/>
    <cellStyle name="Dezimal 2 2 2 4 4" xfId="1023" xr:uid="{00000000-0005-0000-0000-00005F000000}"/>
    <cellStyle name="Dezimal 2 2 2 5" xfId="391" xr:uid="{00000000-0005-0000-0000-000060000000}"/>
    <cellStyle name="Dezimal 2 2 2 6" xfId="643" xr:uid="{00000000-0005-0000-0000-000061000000}"/>
    <cellStyle name="Dezimal 2 2 2 7" xfId="900" xr:uid="{00000000-0005-0000-0000-000062000000}"/>
    <cellStyle name="Dezimal 2 2 3" xfId="148" xr:uid="{00000000-0005-0000-0000-000063000000}"/>
    <cellStyle name="Dezimal 2 2 3 2" xfId="229" xr:uid="{00000000-0005-0000-0000-000064000000}"/>
    <cellStyle name="Dezimal 2 2 3 2 2" xfId="592" xr:uid="{00000000-0005-0000-0000-000065000000}"/>
    <cellStyle name="Dezimal 2 2 3 2 3" xfId="859" xr:uid="{00000000-0005-0000-0000-000066000000}"/>
    <cellStyle name="Dezimal 2 2 3 2 4" xfId="1103" xr:uid="{00000000-0005-0000-0000-000067000000}"/>
    <cellStyle name="Dezimal 2 2 3 3" xfId="350" xr:uid="{00000000-0005-0000-0000-000068000000}"/>
    <cellStyle name="Dezimal 2 2 3 4" xfId="471" xr:uid="{00000000-0005-0000-0000-000069000000}"/>
    <cellStyle name="Dezimal 2 2 3 5" xfId="738" xr:uid="{00000000-0005-0000-0000-00006A000000}"/>
    <cellStyle name="Dezimal 2 2 3 6" xfId="982" xr:uid="{00000000-0005-0000-0000-00006B000000}"/>
    <cellStyle name="Dezimal 2 2 4" xfId="188" xr:uid="{00000000-0005-0000-0000-00006C000000}"/>
    <cellStyle name="Dezimal 2 2 4 2" xfId="309" xr:uid="{00000000-0005-0000-0000-00006D000000}"/>
    <cellStyle name="Dezimal 2 2 4 2 2" xfId="551" xr:uid="{00000000-0005-0000-0000-00006E000000}"/>
    <cellStyle name="Dezimal 2 2 4 2 3" xfId="818" xr:uid="{00000000-0005-0000-0000-00006F000000}"/>
    <cellStyle name="Dezimal 2 2 4 2 4" xfId="1062" xr:uid="{00000000-0005-0000-0000-000070000000}"/>
    <cellStyle name="Dezimal 2 2 4 3" xfId="430" xr:uid="{00000000-0005-0000-0000-000071000000}"/>
    <cellStyle name="Dezimal 2 2 4 4" xfId="697" xr:uid="{00000000-0005-0000-0000-000072000000}"/>
    <cellStyle name="Dezimal 2 2 4 5" xfId="941" xr:uid="{00000000-0005-0000-0000-000073000000}"/>
    <cellStyle name="Dezimal 2 2 5" xfId="269" xr:uid="{00000000-0005-0000-0000-000074000000}"/>
    <cellStyle name="Dezimal 2 2 5 2" xfId="511" xr:uid="{00000000-0005-0000-0000-000075000000}"/>
    <cellStyle name="Dezimal 2 2 5 3" xfId="778" xr:uid="{00000000-0005-0000-0000-000076000000}"/>
    <cellStyle name="Dezimal 2 2 5 4" xfId="1022" xr:uid="{00000000-0005-0000-0000-000077000000}"/>
    <cellStyle name="Dezimal 2 2 6" xfId="390" xr:uid="{00000000-0005-0000-0000-000078000000}"/>
    <cellStyle name="Dezimal 2 2 7" xfId="642" xr:uid="{00000000-0005-0000-0000-000079000000}"/>
    <cellStyle name="Dezimal 2 2 8" xfId="899" xr:uid="{00000000-0005-0000-0000-00007A000000}"/>
    <cellStyle name="Dezimal 2 3" xfId="66" xr:uid="{00000000-0005-0000-0000-00007B000000}"/>
    <cellStyle name="Dezimal 2 3 2" xfId="150" xr:uid="{00000000-0005-0000-0000-00007C000000}"/>
    <cellStyle name="Dezimal 2 3 2 2" xfId="231" xr:uid="{00000000-0005-0000-0000-00007D000000}"/>
    <cellStyle name="Dezimal 2 3 2 2 2" xfId="594" xr:uid="{00000000-0005-0000-0000-00007E000000}"/>
    <cellStyle name="Dezimal 2 3 2 2 3" xfId="861" xr:uid="{00000000-0005-0000-0000-00007F000000}"/>
    <cellStyle name="Dezimal 2 3 2 2 4" xfId="1105" xr:uid="{00000000-0005-0000-0000-000080000000}"/>
    <cellStyle name="Dezimal 2 3 2 3" xfId="352" xr:uid="{00000000-0005-0000-0000-000081000000}"/>
    <cellStyle name="Dezimal 2 3 2 4" xfId="473" xr:uid="{00000000-0005-0000-0000-000082000000}"/>
    <cellStyle name="Dezimal 2 3 2 5" xfId="740" xr:uid="{00000000-0005-0000-0000-000083000000}"/>
    <cellStyle name="Dezimal 2 3 2 6" xfId="984" xr:uid="{00000000-0005-0000-0000-000084000000}"/>
    <cellStyle name="Dezimal 2 3 3" xfId="189" xr:uid="{00000000-0005-0000-0000-000085000000}"/>
    <cellStyle name="Dezimal 2 3 3 2" xfId="311" xr:uid="{00000000-0005-0000-0000-000086000000}"/>
    <cellStyle name="Dezimal 2 3 3 2 2" xfId="553" xr:uid="{00000000-0005-0000-0000-000087000000}"/>
    <cellStyle name="Dezimal 2 3 3 2 3" xfId="820" xr:uid="{00000000-0005-0000-0000-000088000000}"/>
    <cellStyle name="Dezimal 2 3 3 2 4" xfId="1064" xr:uid="{00000000-0005-0000-0000-000089000000}"/>
    <cellStyle name="Dezimal 2 3 3 3" xfId="432" xr:uid="{00000000-0005-0000-0000-00008A000000}"/>
    <cellStyle name="Dezimal 2 3 3 4" xfId="699" xr:uid="{00000000-0005-0000-0000-00008B000000}"/>
    <cellStyle name="Dezimal 2 3 3 5" xfId="943" xr:uid="{00000000-0005-0000-0000-00008C000000}"/>
    <cellStyle name="Dezimal 2 3 4" xfId="271" xr:uid="{00000000-0005-0000-0000-00008D000000}"/>
    <cellStyle name="Dezimal 2 3 4 2" xfId="513" xr:uid="{00000000-0005-0000-0000-00008E000000}"/>
    <cellStyle name="Dezimal 2 3 4 3" xfId="780" xr:uid="{00000000-0005-0000-0000-00008F000000}"/>
    <cellStyle name="Dezimal 2 3 4 4" xfId="1024" xr:uid="{00000000-0005-0000-0000-000090000000}"/>
    <cellStyle name="Dezimal 2 3 5" xfId="392" xr:uid="{00000000-0005-0000-0000-000091000000}"/>
    <cellStyle name="Dezimal 2 3 6" xfId="644" xr:uid="{00000000-0005-0000-0000-000092000000}"/>
    <cellStyle name="Dezimal 2 3 7" xfId="901" xr:uid="{00000000-0005-0000-0000-000093000000}"/>
    <cellStyle name="Dezimal 2 4" xfId="67" xr:uid="{00000000-0005-0000-0000-000094000000}"/>
    <cellStyle name="Dezimal 2 4 2" xfId="151" xr:uid="{00000000-0005-0000-0000-000095000000}"/>
    <cellStyle name="Dezimal 2 4 2 2" xfId="232" xr:uid="{00000000-0005-0000-0000-000096000000}"/>
    <cellStyle name="Dezimal 2 4 2 2 2" xfId="595" xr:uid="{00000000-0005-0000-0000-000097000000}"/>
    <cellStyle name="Dezimal 2 4 2 2 3" xfId="862" xr:uid="{00000000-0005-0000-0000-000098000000}"/>
    <cellStyle name="Dezimal 2 4 2 2 4" xfId="1106" xr:uid="{00000000-0005-0000-0000-000099000000}"/>
    <cellStyle name="Dezimal 2 4 2 3" xfId="353" xr:uid="{00000000-0005-0000-0000-00009A000000}"/>
    <cellStyle name="Dezimal 2 4 2 4" xfId="474" xr:uid="{00000000-0005-0000-0000-00009B000000}"/>
    <cellStyle name="Dezimal 2 4 2 5" xfId="741" xr:uid="{00000000-0005-0000-0000-00009C000000}"/>
    <cellStyle name="Dezimal 2 4 2 6" xfId="985" xr:uid="{00000000-0005-0000-0000-00009D000000}"/>
    <cellStyle name="Dezimal 2 4 3" xfId="190" xr:uid="{00000000-0005-0000-0000-00009E000000}"/>
    <cellStyle name="Dezimal 2 4 3 2" xfId="312" xr:uid="{00000000-0005-0000-0000-00009F000000}"/>
    <cellStyle name="Dezimal 2 4 3 2 2" xfId="554" xr:uid="{00000000-0005-0000-0000-0000A0000000}"/>
    <cellStyle name="Dezimal 2 4 3 2 3" xfId="821" xr:uid="{00000000-0005-0000-0000-0000A1000000}"/>
    <cellStyle name="Dezimal 2 4 3 2 4" xfId="1065" xr:uid="{00000000-0005-0000-0000-0000A2000000}"/>
    <cellStyle name="Dezimal 2 4 3 3" xfId="433" xr:uid="{00000000-0005-0000-0000-0000A3000000}"/>
    <cellStyle name="Dezimal 2 4 3 4" xfId="700" xr:uid="{00000000-0005-0000-0000-0000A4000000}"/>
    <cellStyle name="Dezimal 2 4 3 5" xfId="944" xr:uid="{00000000-0005-0000-0000-0000A5000000}"/>
    <cellStyle name="Dezimal 2 4 4" xfId="272" xr:uid="{00000000-0005-0000-0000-0000A6000000}"/>
    <cellStyle name="Dezimal 2 4 4 2" xfId="514" xr:uid="{00000000-0005-0000-0000-0000A7000000}"/>
    <cellStyle name="Dezimal 2 4 4 3" xfId="781" xr:uid="{00000000-0005-0000-0000-0000A8000000}"/>
    <cellStyle name="Dezimal 2 4 4 4" xfId="1025" xr:uid="{00000000-0005-0000-0000-0000A9000000}"/>
    <cellStyle name="Dezimal 2 4 5" xfId="393" xr:uid="{00000000-0005-0000-0000-0000AA000000}"/>
    <cellStyle name="Dezimal 2 4 6" xfId="645" xr:uid="{00000000-0005-0000-0000-0000AB000000}"/>
    <cellStyle name="Dezimal 2 4 7" xfId="902" xr:uid="{00000000-0005-0000-0000-0000AC000000}"/>
    <cellStyle name="Dezimal 2 5" xfId="147" xr:uid="{00000000-0005-0000-0000-0000AD000000}"/>
    <cellStyle name="Dezimal 2 5 2" xfId="228" xr:uid="{00000000-0005-0000-0000-0000AE000000}"/>
    <cellStyle name="Dezimal 2 5 2 2" xfId="591" xr:uid="{00000000-0005-0000-0000-0000AF000000}"/>
    <cellStyle name="Dezimal 2 5 2 3" xfId="858" xr:uid="{00000000-0005-0000-0000-0000B0000000}"/>
    <cellStyle name="Dezimal 2 5 2 4" xfId="1102" xr:uid="{00000000-0005-0000-0000-0000B1000000}"/>
    <cellStyle name="Dezimal 2 5 3" xfId="349" xr:uid="{00000000-0005-0000-0000-0000B2000000}"/>
    <cellStyle name="Dezimal 2 5 4" xfId="470" xr:uid="{00000000-0005-0000-0000-0000B3000000}"/>
    <cellStyle name="Dezimal 2 5 5" xfId="737" xr:uid="{00000000-0005-0000-0000-0000B4000000}"/>
    <cellStyle name="Dezimal 2 5 6" xfId="981" xr:uid="{00000000-0005-0000-0000-0000B5000000}"/>
    <cellStyle name="Dezimal 2 6" xfId="191" xr:uid="{00000000-0005-0000-0000-0000B6000000}"/>
    <cellStyle name="Dezimal 2 6 2" xfId="308" xr:uid="{00000000-0005-0000-0000-0000B7000000}"/>
    <cellStyle name="Dezimal 2 6 2 2" xfId="550" xr:uid="{00000000-0005-0000-0000-0000B8000000}"/>
    <cellStyle name="Dezimal 2 6 2 3" xfId="817" xr:uid="{00000000-0005-0000-0000-0000B9000000}"/>
    <cellStyle name="Dezimal 2 6 2 4" xfId="1061" xr:uid="{00000000-0005-0000-0000-0000BA000000}"/>
    <cellStyle name="Dezimal 2 6 3" xfId="429" xr:uid="{00000000-0005-0000-0000-0000BB000000}"/>
    <cellStyle name="Dezimal 2 6 4" xfId="696" xr:uid="{00000000-0005-0000-0000-0000BC000000}"/>
    <cellStyle name="Dezimal 2 6 5" xfId="940" xr:uid="{00000000-0005-0000-0000-0000BD000000}"/>
    <cellStyle name="Dezimal 2 7" xfId="268" xr:uid="{00000000-0005-0000-0000-0000BE000000}"/>
    <cellStyle name="Dezimal 2 7 2" xfId="510" xr:uid="{00000000-0005-0000-0000-0000BF000000}"/>
    <cellStyle name="Dezimal 2 7 3" xfId="777" xr:uid="{00000000-0005-0000-0000-0000C0000000}"/>
    <cellStyle name="Dezimal 2 7 4" xfId="1021" xr:uid="{00000000-0005-0000-0000-0000C1000000}"/>
    <cellStyle name="Dezimal 2 8" xfId="389" xr:uid="{00000000-0005-0000-0000-0000C2000000}"/>
    <cellStyle name="Dezimal 2 9" xfId="641" xr:uid="{00000000-0005-0000-0000-0000C3000000}"/>
    <cellStyle name="Eingabe" xfId="68" xr:uid="{00000000-0005-0000-0000-0000C4000000}"/>
    <cellStyle name="Eingabe 10" xfId="69" xr:uid="{00000000-0005-0000-0000-0000C5000000}"/>
    <cellStyle name="Eingabe 11" xfId="646" xr:uid="{00000000-0005-0000-0000-0000C6000000}"/>
    <cellStyle name="Eingabe 2" xfId="70" xr:uid="{00000000-0005-0000-0000-0000C7000000}"/>
    <cellStyle name="Eingabe 2_2010-12-07 Kriterien Sanierung Verwaltung Schule Sozial" xfId="71" xr:uid="{00000000-0005-0000-0000-0000C8000000}"/>
    <cellStyle name="Eingabe 2_2010-12-07 Kriterien Sanierung Verwaltung Schule Sozial 2" xfId="1145" xr:uid="{00000000-0005-0000-0000-0000C9000000}"/>
    <cellStyle name="Eingabe 3" xfId="72" xr:uid="{00000000-0005-0000-0000-0000CA000000}"/>
    <cellStyle name="Eingabe 4" xfId="73" xr:uid="{00000000-0005-0000-0000-0000CB000000}"/>
    <cellStyle name="Eingabe 5" xfId="74" xr:uid="{00000000-0005-0000-0000-0000CC000000}"/>
    <cellStyle name="Eingabe 6" xfId="75" xr:uid="{00000000-0005-0000-0000-0000CD000000}"/>
    <cellStyle name="Eingabe 7" xfId="76" xr:uid="{00000000-0005-0000-0000-0000CE000000}"/>
    <cellStyle name="Eingabe 8" xfId="77" xr:uid="{00000000-0005-0000-0000-0000CF000000}"/>
    <cellStyle name="Eingabe 9" xfId="78" xr:uid="{00000000-0005-0000-0000-0000D0000000}"/>
    <cellStyle name="Ergebnis" xfId="79" xr:uid="{00000000-0005-0000-0000-0000D1000000}"/>
    <cellStyle name="Ergebnis 2" xfId="80" xr:uid="{00000000-0005-0000-0000-0000D2000000}"/>
    <cellStyle name="Ergebnis 3" xfId="647" xr:uid="{00000000-0005-0000-0000-0000D3000000}"/>
    <cellStyle name="Erklärender Text" xfId="81" xr:uid="{00000000-0005-0000-0000-0000D4000000}"/>
    <cellStyle name="Erklärender Text 2" xfId="82" xr:uid="{00000000-0005-0000-0000-0000D5000000}"/>
    <cellStyle name="Erklärender Text 3" xfId="648" xr:uid="{00000000-0005-0000-0000-0000D6000000}"/>
    <cellStyle name="Gut" xfId="83" xr:uid="{00000000-0005-0000-0000-0000D7000000}"/>
    <cellStyle name="Gut 2" xfId="84" xr:uid="{00000000-0005-0000-0000-0000D8000000}"/>
    <cellStyle name="Gut 3" xfId="649" xr:uid="{00000000-0005-0000-0000-0000D9000000}"/>
    <cellStyle name="Komma" xfId="86" builtinId="3"/>
    <cellStyle name="Komma 2" xfId="87" xr:uid="{00000000-0005-0000-0000-0000DB000000}"/>
    <cellStyle name="Komma 2 10" xfId="651" xr:uid="{00000000-0005-0000-0000-0000DC000000}"/>
    <cellStyle name="Komma 2 11" xfId="904" xr:uid="{00000000-0005-0000-0000-0000DD000000}"/>
    <cellStyle name="Komma 2 2" xfId="88" xr:uid="{00000000-0005-0000-0000-0000DE000000}"/>
    <cellStyle name="Komma 2 2 2" xfId="89" xr:uid="{00000000-0005-0000-0000-0000DF000000}"/>
    <cellStyle name="Komma 2 2 2 2" xfId="154" xr:uid="{00000000-0005-0000-0000-0000E0000000}"/>
    <cellStyle name="Komma 2 2 2 2 2" xfId="235" xr:uid="{00000000-0005-0000-0000-0000E1000000}"/>
    <cellStyle name="Komma 2 2 2 2 2 2" xfId="598" xr:uid="{00000000-0005-0000-0000-0000E2000000}"/>
    <cellStyle name="Komma 2 2 2 2 2 3" xfId="865" xr:uid="{00000000-0005-0000-0000-0000E3000000}"/>
    <cellStyle name="Komma 2 2 2 2 2 4" xfId="1109" xr:uid="{00000000-0005-0000-0000-0000E4000000}"/>
    <cellStyle name="Komma 2 2 2 2 3" xfId="356" xr:uid="{00000000-0005-0000-0000-0000E5000000}"/>
    <cellStyle name="Komma 2 2 2 2 4" xfId="477" xr:uid="{00000000-0005-0000-0000-0000E6000000}"/>
    <cellStyle name="Komma 2 2 2 2 5" xfId="744" xr:uid="{00000000-0005-0000-0000-0000E7000000}"/>
    <cellStyle name="Komma 2 2 2 2 6" xfId="988" xr:uid="{00000000-0005-0000-0000-0000E8000000}"/>
    <cellStyle name="Komma 2 2 2 3" xfId="192" xr:uid="{00000000-0005-0000-0000-0000E9000000}"/>
    <cellStyle name="Komma 2 2 2 3 2" xfId="315" xr:uid="{00000000-0005-0000-0000-0000EA000000}"/>
    <cellStyle name="Komma 2 2 2 3 2 2" xfId="557" xr:uid="{00000000-0005-0000-0000-0000EB000000}"/>
    <cellStyle name="Komma 2 2 2 3 2 3" xfId="824" xr:uid="{00000000-0005-0000-0000-0000EC000000}"/>
    <cellStyle name="Komma 2 2 2 3 2 4" xfId="1068" xr:uid="{00000000-0005-0000-0000-0000ED000000}"/>
    <cellStyle name="Komma 2 2 2 3 3" xfId="436" xr:uid="{00000000-0005-0000-0000-0000EE000000}"/>
    <cellStyle name="Komma 2 2 2 3 4" xfId="703" xr:uid="{00000000-0005-0000-0000-0000EF000000}"/>
    <cellStyle name="Komma 2 2 2 3 5" xfId="947" xr:uid="{00000000-0005-0000-0000-0000F0000000}"/>
    <cellStyle name="Komma 2 2 2 4" xfId="275" xr:uid="{00000000-0005-0000-0000-0000F1000000}"/>
    <cellStyle name="Komma 2 2 2 4 2" xfId="517" xr:uid="{00000000-0005-0000-0000-0000F2000000}"/>
    <cellStyle name="Komma 2 2 2 4 3" xfId="784" xr:uid="{00000000-0005-0000-0000-0000F3000000}"/>
    <cellStyle name="Komma 2 2 2 4 4" xfId="1028" xr:uid="{00000000-0005-0000-0000-0000F4000000}"/>
    <cellStyle name="Komma 2 2 2 5" xfId="396" xr:uid="{00000000-0005-0000-0000-0000F5000000}"/>
    <cellStyle name="Komma 2 2 2 6" xfId="653" xr:uid="{00000000-0005-0000-0000-0000F6000000}"/>
    <cellStyle name="Komma 2 2 2 7" xfId="906" xr:uid="{00000000-0005-0000-0000-0000F7000000}"/>
    <cellStyle name="Komma 2 2 3" xfId="153" xr:uid="{00000000-0005-0000-0000-0000F8000000}"/>
    <cellStyle name="Komma 2 2 3 2" xfId="234" xr:uid="{00000000-0005-0000-0000-0000F9000000}"/>
    <cellStyle name="Komma 2 2 3 2 2" xfId="597" xr:uid="{00000000-0005-0000-0000-0000FA000000}"/>
    <cellStyle name="Komma 2 2 3 2 3" xfId="864" xr:uid="{00000000-0005-0000-0000-0000FB000000}"/>
    <cellStyle name="Komma 2 2 3 2 4" xfId="1108" xr:uid="{00000000-0005-0000-0000-0000FC000000}"/>
    <cellStyle name="Komma 2 2 3 3" xfId="355" xr:uid="{00000000-0005-0000-0000-0000FD000000}"/>
    <cellStyle name="Komma 2 2 3 4" xfId="476" xr:uid="{00000000-0005-0000-0000-0000FE000000}"/>
    <cellStyle name="Komma 2 2 3 5" xfId="743" xr:uid="{00000000-0005-0000-0000-0000FF000000}"/>
    <cellStyle name="Komma 2 2 3 6" xfId="987" xr:uid="{00000000-0005-0000-0000-000000010000}"/>
    <cellStyle name="Komma 2 2 4" xfId="193" xr:uid="{00000000-0005-0000-0000-000001010000}"/>
    <cellStyle name="Komma 2 2 4 2" xfId="314" xr:uid="{00000000-0005-0000-0000-000002010000}"/>
    <cellStyle name="Komma 2 2 4 2 2" xfId="556" xr:uid="{00000000-0005-0000-0000-000003010000}"/>
    <cellStyle name="Komma 2 2 4 2 3" xfId="823" xr:uid="{00000000-0005-0000-0000-000004010000}"/>
    <cellStyle name="Komma 2 2 4 2 4" xfId="1067" xr:uid="{00000000-0005-0000-0000-000005010000}"/>
    <cellStyle name="Komma 2 2 4 3" xfId="435" xr:uid="{00000000-0005-0000-0000-000006010000}"/>
    <cellStyle name="Komma 2 2 4 4" xfId="702" xr:uid="{00000000-0005-0000-0000-000007010000}"/>
    <cellStyle name="Komma 2 2 4 5" xfId="946" xr:uid="{00000000-0005-0000-0000-000008010000}"/>
    <cellStyle name="Komma 2 2 5" xfId="274" xr:uid="{00000000-0005-0000-0000-000009010000}"/>
    <cellStyle name="Komma 2 2 5 2" xfId="516" xr:uid="{00000000-0005-0000-0000-00000A010000}"/>
    <cellStyle name="Komma 2 2 5 3" xfId="783" xr:uid="{00000000-0005-0000-0000-00000B010000}"/>
    <cellStyle name="Komma 2 2 5 4" xfId="1027" xr:uid="{00000000-0005-0000-0000-00000C010000}"/>
    <cellStyle name="Komma 2 2 6" xfId="395" xr:uid="{00000000-0005-0000-0000-00000D010000}"/>
    <cellStyle name="Komma 2 2 7" xfId="652" xr:uid="{00000000-0005-0000-0000-00000E010000}"/>
    <cellStyle name="Komma 2 2 8" xfId="905" xr:uid="{00000000-0005-0000-0000-00000F010000}"/>
    <cellStyle name="Komma 2 3" xfId="90" xr:uid="{00000000-0005-0000-0000-000010010000}"/>
    <cellStyle name="Komma 2 3 2" xfId="91" xr:uid="{00000000-0005-0000-0000-000011010000}"/>
    <cellStyle name="Komma 2 3 2 2" xfId="156" xr:uid="{00000000-0005-0000-0000-000012010000}"/>
    <cellStyle name="Komma 2 3 2 2 2" xfId="237" xr:uid="{00000000-0005-0000-0000-000013010000}"/>
    <cellStyle name="Komma 2 3 2 2 2 2" xfId="600" xr:uid="{00000000-0005-0000-0000-000014010000}"/>
    <cellStyle name="Komma 2 3 2 2 2 3" xfId="867" xr:uid="{00000000-0005-0000-0000-000015010000}"/>
    <cellStyle name="Komma 2 3 2 2 2 4" xfId="1111" xr:uid="{00000000-0005-0000-0000-000016010000}"/>
    <cellStyle name="Komma 2 3 2 2 3" xfId="358" xr:uid="{00000000-0005-0000-0000-000017010000}"/>
    <cellStyle name="Komma 2 3 2 2 4" xfId="479" xr:uid="{00000000-0005-0000-0000-000018010000}"/>
    <cellStyle name="Komma 2 3 2 2 5" xfId="746" xr:uid="{00000000-0005-0000-0000-000019010000}"/>
    <cellStyle name="Komma 2 3 2 2 6" xfId="990" xr:uid="{00000000-0005-0000-0000-00001A010000}"/>
    <cellStyle name="Komma 2 3 2 3" xfId="194" xr:uid="{00000000-0005-0000-0000-00001B010000}"/>
    <cellStyle name="Komma 2 3 2 3 2" xfId="317" xr:uid="{00000000-0005-0000-0000-00001C010000}"/>
    <cellStyle name="Komma 2 3 2 3 2 2" xfId="559" xr:uid="{00000000-0005-0000-0000-00001D010000}"/>
    <cellStyle name="Komma 2 3 2 3 2 3" xfId="826" xr:uid="{00000000-0005-0000-0000-00001E010000}"/>
    <cellStyle name="Komma 2 3 2 3 2 4" xfId="1070" xr:uid="{00000000-0005-0000-0000-00001F010000}"/>
    <cellStyle name="Komma 2 3 2 3 3" xfId="438" xr:uid="{00000000-0005-0000-0000-000020010000}"/>
    <cellStyle name="Komma 2 3 2 3 4" xfId="705" xr:uid="{00000000-0005-0000-0000-000021010000}"/>
    <cellStyle name="Komma 2 3 2 3 5" xfId="949" xr:uid="{00000000-0005-0000-0000-000022010000}"/>
    <cellStyle name="Komma 2 3 2 4" xfId="277" xr:uid="{00000000-0005-0000-0000-000023010000}"/>
    <cellStyle name="Komma 2 3 2 4 2" xfId="519" xr:uid="{00000000-0005-0000-0000-000024010000}"/>
    <cellStyle name="Komma 2 3 2 4 3" xfId="786" xr:uid="{00000000-0005-0000-0000-000025010000}"/>
    <cellStyle name="Komma 2 3 2 4 4" xfId="1030" xr:uid="{00000000-0005-0000-0000-000026010000}"/>
    <cellStyle name="Komma 2 3 2 5" xfId="398" xr:uid="{00000000-0005-0000-0000-000027010000}"/>
    <cellStyle name="Komma 2 3 2 6" xfId="655" xr:uid="{00000000-0005-0000-0000-000028010000}"/>
    <cellStyle name="Komma 2 3 2 7" xfId="908" xr:uid="{00000000-0005-0000-0000-000029010000}"/>
    <cellStyle name="Komma 2 3 3" xfId="155" xr:uid="{00000000-0005-0000-0000-00002A010000}"/>
    <cellStyle name="Komma 2 3 3 2" xfId="236" xr:uid="{00000000-0005-0000-0000-00002B010000}"/>
    <cellStyle name="Komma 2 3 3 2 2" xfId="599" xr:uid="{00000000-0005-0000-0000-00002C010000}"/>
    <cellStyle name="Komma 2 3 3 2 3" xfId="866" xr:uid="{00000000-0005-0000-0000-00002D010000}"/>
    <cellStyle name="Komma 2 3 3 2 4" xfId="1110" xr:uid="{00000000-0005-0000-0000-00002E010000}"/>
    <cellStyle name="Komma 2 3 3 3" xfId="357" xr:uid="{00000000-0005-0000-0000-00002F010000}"/>
    <cellStyle name="Komma 2 3 3 4" xfId="478" xr:uid="{00000000-0005-0000-0000-000030010000}"/>
    <cellStyle name="Komma 2 3 3 5" xfId="745" xr:uid="{00000000-0005-0000-0000-000031010000}"/>
    <cellStyle name="Komma 2 3 3 6" xfId="989" xr:uid="{00000000-0005-0000-0000-000032010000}"/>
    <cellStyle name="Komma 2 3 4" xfId="195" xr:uid="{00000000-0005-0000-0000-000033010000}"/>
    <cellStyle name="Komma 2 3 4 2" xfId="316" xr:uid="{00000000-0005-0000-0000-000034010000}"/>
    <cellStyle name="Komma 2 3 4 2 2" xfId="558" xr:uid="{00000000-0005-0000-0000-000035010000}"/>
    <cellStyle name="Komma 2 3 4 2 3" xfId="825" xr:uid="{00000000-0005-0000-0000-000036010000}"/>
    <cellStyle name="Komma 2 3 4 2 4" xfId="1069" xr:uid="{00000000-0005-0000-0000-000037010000}"/>
    <cellStyle name="Komma 2 3 4 3" xfId="437" xr:uid="{00000000-0005-0000-0000-000038010000}"/>
    <cellStyle name="Komma 2 3 4 4" xfId="704" xr:uid="{00000000-0005-0000-0000-000039010000}"/>
    <cellStyle name="Komma 2 3 4 5" xfId="948" xr:uid="{00000000-0005-0000-0000-00003A010000}"/>
    <cellStyle name="Komma 2 3 5" xfId="276" xr:uid="{00000000-0005-0000-0000-00003B010000}"/>
    <cellStyle name="Komma 2 3 5 2" xfId="518" xr:uid="{00000000-0005-0000-0000-00003C010000}"/>
    <cellStyle name="Komma 2 3 5 3" xfId="785" xr:uid="{00000000-0005-0000-0000-00003D010000}"/>
    <cellStyle name="Komma 2 3 5 4" xfId="1029" xr:uid="{00000000-0005-0000-0000-00003E010000}"/>
    <cellStyle name="Komma 2 3 6" xfId="397" xr:uid="{00000000-0005-0000-0000-00003F010000}"/>
    <cellStyle name="Komma 2 3 7" xfId="654" xr:uid="{00000000-0005-0000-0000-000040010000}"/>
    <cellStyle name="Komma 2 3 8" xfId="907" xr:uid="{00000000-0005-0000-0000-000041010000}"/>
    <cellStyle name="Komma 2 4" xfId="92" xr:uid="{00000000-0005-0000-0000-000042010000}"/>
    <cellStyle name="Komma 2 4 2" xfId="157" xr:uid="{00000000-0005-0000-0000-000043010000}"/>
    <cellStyle name="Komma 2 4 2 2" xfId="238" xr:uid="{00000000-0005-0000-0000-000044010000}"/>
    <cellStyle name="Komma 2 4 2 2 2" xfId="601" xr:uid="{00000000-0005-0000-0000-000045010000}"/>
    <cellStyle name="Komma 2 4 2 2 3" xfId="868" xr:uid="{00000000-0005-0000-0000-000046010000}"/>
    <cellStyle name="Komma 2 4 2 2 4" xfId="1112" xr:uid="{00000000-0005-0000-0000-000047010000}"/>
    <cellStyle name="Komma 2 4 2 3" xfId="359" xr:uid="{00000000-0005-0000-0000-000048010000}"/>
    <cellStyle name="Komma 2 4 2 4" xfId="480" xr:uid="{00000000-0005-0000-0000-000049010000}"/>
    <cellStyle name="Komma 2 4 2 5" xfId="747" xr:uid="{00000000-0005-0000-0000-00004A010000}"/>
    <cellStyle name="Komma 2 4 2 6" xfId="991" xr:uid="{00000000-0005-0000-0000-00004B010000}"/>
    <cellStyle name="Komma 2 4 3" xfId="196" xr:uid="{00000000-0005-0000-0000-00004C010000}"/>
    <cellStyle name="Komma 2 4 3 2" xfId="318" xr:uid="{00000000-0005-0000-0000-00004D010000}"/>
    <cellStyle name="Komma 2 4 3 2 2" xfId="560" xr:uid="{00000000-0005-0000-0000-00004E010000}"/>
    <cellStyle name="Komma 2 4 3 2 3" xfId="827" xr:uid="{00000000-0005-0000-0000-00004F010000}"/>
    <cellStyle name="Komma 2 4 3 2 4" xfId="1071" xr:uid="{00000000-0005-0000-0000-000050010000}"/>
    <cellStyle name="Komma 2 4 3 3" xfId="439" xr:uid="{00000000-0005-0000-0000-000051010000}"/>
    <cellStyle name="Komma 2 4 3 4" xfId="706" xr:uid="{00000000-0005-0000-0000-000052010000}"/>
    <cellStyle name="Komma 2 4 3 5" xfId="950" xr:uid="{00000000-0005-0000-0000-000053010000}"/>
    <cellStyle name="Komma 2 4 4" xfId="278" xr:uid="{00000000-0005-0000-0000-000054010000}"/>
    <cellStyle name="Komma 2 4 4 2" xfId="520" xr:uid="{00000000-0005-0000-0000-000055010000}"/>
    <cellStyle name="Komma 2 4 4 3" xfId="787" xr:uid="{00000000-0005-0000-0000-000056010000}"/>
    <cellStyle name="Komma 2 4 4 4" xfId="1031" xr:uid="{00000000-0005-0000-0000-000057010000}"/>
    <cellStyle name="Komma 2 4 5" xfId="399" xr:uid="{00000000-0005-0000-0000-000058010000}"/>
    <cellStyle name="Komma 2 4 6" xfId="656" xr:uid="{00000000-0005-0000-0000-000059010000}"/>
    <cellStyle name="Komma 2 4 7" xfId="909" xr:uid="{00000000-0005-0000-0000-00005A010000}"/>
    <cellStyle name="Komma 2 5" xfId="93" xr:uid="{00000000-0005-0000-0000-00005B010000}"/>
    <cellStyle name="Komma 2 5 2" xfId="158" xr:uid="{00000000-0005-0000-0000-00005C010000}"/>
    <cellStyle name="Komma 2 5 2 2" xfId="239" xr:uid="{00000000-0005-0000-0000-00005D010000}"/>
    <cellStyle name="Komma 2 5 2 2 2" xfId="602" xr:uid="{00000000-0005-0000-0000-00005E010000}"/>
    <cellStyle name="Komma 2 5 2 2 3" xfId="869" xr:uid="{00000000-0005-0000-0000-00005F010000}"/>
    <cellStyle name="Komma 2 5 2 2 4" xfId="1113" xr:uid="{00000000-0005-0000-0000-000060010000}"/>
    <cellStyle name="Komma 2 5 2 3" xfId="360" xr:uid="{00000000-0005-0000-0000-000061010000}"/>
    <cellStyle name="Komma 2 5 2 4" xfId="481" xr:uid="{00000000-0005-0000-0000-000062010000}"/>
    <cellStyle name="Komma 2 5 2 5" xfId="748" xr:uid="{00000000-0005-0000-0000-000063010000}"/>
    <cellStyle name="Komma 2 5 2 6" xfId="992" xr:uid="{00000000-0005-0000-0000-000064010000}"/>
    <cellStyle name="Komma 2 5 3" xfId="197" xr:uid="{00000000-0005-0000-0000-000065010000}"/>
    <cellStyle name="Komma 2 5 3 2" xfId="319" xr:uid="{00000000-0005-0000-0000-000066010000}"/>
    <cellStyle name="Komma 2 5 3 2 2" xfId="561" xr:uid="{00000000-0005-0000-0000-000067010000}"/>
    <cellStyle name="Komma 2 5 3 2 3" xfId="828" xr:uid="{00000000-0005-0000-0000-000068010000}"/>
    <cellStyle name="Komma 2 5 3 2 4" xfId="1072" xr:uid="{00000000-0005-0000-0000-000069010000}"/>
    <cellStyle name="Komma 2 5 3 3" xfId="440" xr:uid="{00000000-0005-0000-0000-00006A010000}"/>
    <cellStyle name="Komma 2 5 3 4" xfId="707" xr:uid="{00000000-0005-0000-0000-00006B010000}"/>
    <cellStyle name="Komma 2 5 3 5" xfId="951" xr:uid="{00000000-0005-0000-0000-00006C010000}"/>
    <cellStyle name="Komma 2 5 4" xfId="279" xr:uid="{00000000-0005-0000-0000-00006D010000}"/>
    <cellStyle name="Komma 2 5 4 2" xfId="521" xr:uid="{00000000-0005-0000-0000-00006E010000}"/>
    <cellStyle name="Komma 2 5 4 3" xfId="788" xr:uid="{00000000-0005-0000-0000-00006F010000}"/>
    <cellStyle name="Komma 2 5 4 4" xfId="1032" xr:uid="{00000000-0005-0000-0000-000070010000}"/>
    <cellStyle name="Komma 2 5 5" xfId="400" xr:uid="{00000000-0005-0000-0000-000071010000}"/>
    <cellStyle name="Komma 2 5 6" xfId="657" xr:uid="{00000000-0005-0000-0000-000072010000}"/>
    <cellStyle name="Komma 2 5 7" xfId="910" xr:uid="{00000000-0005-0000-0000-000073010000}"/>
    <cellStyle name="Komma 2 6" xfId="152" xr:uid="{00000000-0005-0000-0000-000074010000}"/>
    <cellStyle name="Komma 2 6 2" xfId="233" xr:uid="{00000000-0005-0000-0000-000075010000}"/>
    <cellStyle name="Komma 2 6 2 2" xfId="596" xr:uid="{00000000-0005-0000-0000-000076010000}"/>
    <cellStyle name="Komma 2 6 2 3" xfId="863" xr:uid="{00000000-0005-0000-0000-000077010000}"/>
    <cellStyle name="Komma 2 6 2 4" xfId="1107" xr:uid="{00000000-0005-0000-0000-000078010000}"/>
    <cellStyle name="Komma 2 6 3" xfId="354" xr:uid="{00000000-0005-0000-0000-000079010000}"/>
    <cellStyle name="Komma 2 6 4" xfId="475" xr:uid="{00000000-0005-0000-0000-00007A010000}"/>
    <cellStyle name="Komma 2 6 5" xfId="742" xr:uid="{00000000-0005-0000-0000-00007B010000}"/>
    <cellStyle name="Komma 2 6 6" xfId="986" xr:uid="{00000000-0005-0000-0000-00007C010000}"/>
    <cellStyle name="Komma 2 7" xfId="198" xr:uid="{00000000-0005-0000-0000-00007D010000}"/>
    <cellStyle name="Komma 2 7 2" xfId="313" xr:uid="{00000000-0005-0000-0000-00007E010000}"/>
    <cellStyle name="Komma 2 7 2 2" xfId="555" xr:uid="{00000000-0005-0000-0000-00007F010000}"/>
    <cellStyle name="Komma 2 7 2 3" xfId="822" xr:uid="{00000000-0005-0000-0000-000080010000}"/>
    <cellStyle name="Komma 2 7 2 4" xfId="1066" xr:uid="{00000000-0005-0000-0000-000081010000}"/>
    <cellStyle name="Komma 2 7 3" xfId="434" xr:uid="{00000000-0005-0000-0000-000082010000}"/>
    <cellStyle name="Komma 2 7 4" xfId="701" xr:uid="{00000000-0005-0000-0000-000083010000}"/>
    <cellStyle name="Komma 2 7 5" xfId="945" xr:uid="{00000000-0005-0000-0000-000084010000}"/>
    <cellStyle name="Komma 2 8" xfId="273" xr:uid="{00000000-0005-0000-0000-000085010000}"/>
    <cellStyle name="Komma 2 8 2" xfId="515" xr:uid="{00000000-0005-0000-0000-000086010000}"/>
    <cellStyle name="Komma 2 8 3" xfId="782" xr:uid="{00000000-0005-0000-0000-000087010000}"/>
    <cellStyle name="Komma 2 8 4" xfId="1026" xr:uid="{00000000-0005-0000-0000-000088010000}"/>
    <cellStyle name="Komma 2 9" xfId="394" xr:uid="{00000000-0005-0000-0000-000089010000}"/>
    <cellStyle name="Komma 3" xfId="94" xr:uid="{00000000-0005-0000-0000-00008A010000}"/>
    <cellStyle name="Komma 3 2" xfId="911" xr:uid="{00000000-0005-0000-0000-00008B010000}"/>
    <cellStyle name="Komma 4" xfId="650" xr:uid="{00000000-0005-0000-0000-00008C010000}"/>
    <cellStyle name="Komma 5" xfId="903" xr:uid="{00000000-0005-0000-0000-00008D010000}"/>
    <cellStyle name="Link" xfId="85" builtinId="8"/>
    <cellStyle name="Notiz" xfId="95" xr:uid="{00000000-0005-0000-0000-00008F010000}"/>
    <cellStyle name="Notiz 2" xfId="96" xr:uid="{00000000-0005-0000-0000-000090010000}"/>
    <cellStyle name="Notiz 3" xfId="658" xr:uid="{00000000-0005-0000-0000-000091010000}"/>
    <cellStyle name="Prozent 2" xfId="97" xr:uid="{00000000-0005-0000-0000-000092010000}"/>
    <cellStyle name="Prozent 2 10" xfId="659" xr:uid="{00000000-0005-0000-0000-000093010000}"/>
    <cellStyle name="Prozent 2 11" xfId="912" xr:uid="{00000000-0005-0000-0000-000094010000}"/>
    <cellStyle name="Prozent 2 2" xfId="98" xr:uid="{00000000-0005-0000-0000-000095010000}"/>
    <cellStyle name="Prozent 2 2 2" xfId="99" xr:uid="{00000000-0005-0000-0000-000096010000}"/>
    <cellStyle name="Prozent 2 2 2 2" xfId="161" xr:uid="{00000000-0005-0000-0000-000097010000}"/>
    <cellStyle name="Prozent 2 2 2 2 2" xfId="242" xr:uid="{00000000-0005-0000-0000-000098010000}"/>
    <cellStyle name="Prozent 2 2 2 2 2 2" xfId="605" xr:uid="{00000000-0005-0000-0000-000099010000}"/>
    <cellStyle name="Prozent 2 2 2 2 2 3" xfId="872" xr:uid="{00000000-0005-0000-0000-00009A010000}"/>
    <cellStyle name="Prozent 2 2 2 2 2 4" xfId="1116" xr:uid="{00000000-0005-0000-0000-00009B010000}"/>
    <cellStyle name="Prozent 2 2 2 2 3" xfId="363" xr:uid="{00000000-0005-0000-0000-00009C010000}"/>
    <cellStyle name="Prozent 2 2 2 2 4" xfId="484" xr:uid="{00000000-0005-0000-0000-00009D010000}"/>
    <cellStyle name="Prozent 2 2 2 2 5" xfId="751" xr:uid="{00000000-0005-0000-0000-00009E010000}"/>
    <cellStyle name="Prozent 2 2 2 2 6" xfId="995" xr:uid="{00000000-0005-0000-0000-00009F010000}"/>
    <cellStyle name="Prozent 2 2 2 3" xfId="199" xr:uid="{00000000-0005-0000-0000-0000A0010000}"/>
    <cellStyle name="Prozent 2 2 2 3 2" xfId="322" xr:uid="{00000000-0005-0000-0000-0000A1010000}"/>
    <cellStyle name="Prozent 2 2 2 3 2 2" xfId="564" xr:uid="{00000000-0005-0000-0000-0000A2010000}"/>
    <cellStyle name="Prozent 2 2 2 3 2 3" xfId="831" xr:uid="{00000000-0005-0000-0000-0000A3010000}"/>
    <cellStyle name="Prozent 2 2 2 3 2 4" xfId="1075" xr:uid="{00000000-0005-0000-0000-0000A4010000}"/>
    <cellStyle name="Prozent 2 2 2 3 3" xfId="443" xr:uid="{00000000-0005-0000-0000-0000A5010000}"/>
    <cellStyle name="Prozent 2 2 2 3 4" xfId="710" xr:uid="{00000000-0005-0000-0000-0000A6010000}"/>
    <cellStyle name="Prozent 2 2 2 3 5" xfId="954" xr:uid="{00000000-0005-0000-0000-0000A7010000}"/>
    <cellStyle name="Prozent 2 2 2 4" xfId="282" xr:uid="{00000000-0005-0000-0000-0000A8010000}"/>
    <cellStyle name="Prozent 2 2 2 4 2" xfId="524" xr:uid="{00000000-0005-0000-0000-0000A9010000}"/>
    <cellStyle name="Prozent 2 2 2 4 3" xfId="791" xr:uid="{00000000-0005-0000-0000-0000AA010000}"/>
    <cellStyle name="Prozent 2 2 2 4 4" xfId="1035" xr:uid="{00000000-0005-0000-0000-0000AB010000}"/>
    <cellStyle name="Prozent 2 2 2 5" xfId="403" xr:uid="{00000000-0005-0000-0000-0000AC010000}"/>
    <cellStyle name="Prozent 2 2 2 6" xfId="661" xr:uid="{00000000-0005-0000-0000-0000AD010000}"/>
    <cellStyle name="Prozent 2 2 2 7" xfId="914" xr:uid="{00000000-0005-0000-0000-0000AE010000}"/>
    <cellStyle name="Prozent 2 2 3" xfId="160" xr:uid="{00000000-0005-0000-0000-0000AF010000}"/>
    <cellStyle name="Prozent 2 2 3 2" xfId="241" xr:uid="{00000000-0005-0000-0000-0000B0010000}"/>
    <cellStyle name="Prozent 2 2 3 2 2" xfId="604" xr:uid="{00000000-0005-0000-0000-0000B1010000}"/>
    <cellStyle name="Prozent 2 2 3 2 3" xfId="871" xr:uid="{00000000-0005-0000-0000-0000B2010000}"/>
    <cellStyle name="Prozent 2 2 3 2 4" xfId="1115" xr:uid="{00000000-0005-0000-0000-0000B3010000}"/>
    <cellStyle name="Prozent 2 2 3 3" xfId="362" xr:uid="{00000000-0005-0000-0000-0000B4010000}"/>
    <cellStyle name="Prozent 2 2 3 4" xfId="483" xr:uid="{00000000-0005-0000-0000-0000B5010000}"/>
    <cellStyle name="Prozent 2 2 3 5" xfId="750" xr:uid="{00000000-0005-0000-0000-0000B6010000}"/>
    <cellStyle name="Prozent 2 2 3 6" xfId="994" xr:uid="{00000000-0005-0000-0000-0000B7010000}"/>
    <cellStyle name="Prozent 2 2 4" xfId="200" xr:uid="{00000000-0005-0000-0000-0000B8010000}"/>
    <cellStyle name="Prozent 2 2 4 2" xfId="321" xr:uid="{00000000-0005-0000-0000-0000B9010000}"/>
    <cellStyle name="Prozent 2 2 4 2 2" xfId="563" xr:uid="{00000000-0005-0000-0000-0000BA010000}"/>
    <cellStyle name="Prozent 2 2 4 2 3" xfId="830" xr:uid="{00000000-0005-0000-0000-0000BB010000}"/>
    <cellStyle name="Prozent 2 2 4 2 4" xfId="1074" xr:uid="{00000000-0005-0000-0000-0000BC010000}"/>
    <cellStyle name="Prozent 2 2 4 3" xfId="442" xr:uid="{00000000-0005-0000-0000-0000BD010000}"/>
    <cellStyle name="Prozent 2 2 4 4" xfId="709" xr:uid="{00000000-0005-0000-0000-0000BE010000}"/>
    <cellStyle name="Prozent 2 2 4 5" xfId="953" xr:uid="{00000000-0005-0000-0000-0000BF010000}"/>
    <cellStyle name="Prozent 2 2 5" xfId="281" xr:uid="{00000000-0005-0000-0000-0000C0010000}"/>
    <cellStyle name="Prozent 2 2 5 2" xfId="523" xr:uid="{00000000-0005-0000-0000-0000C1010000}"/>
    <cellStyle name="Prozent 2 2 5 3" xfId="790" xr:uid="{00000000-0005-0000-0000-0000C2010000}"/>
    <cellStyle name="Prozent 2 2 5 4" xfId="1034" xr:uid="{00000000-0005-0000-0000-0000C3010000}"/>
    <cellStyle name="Prozent 2 2 6" xfId="402" xr:uid="{00000000-0005-0000-0000-0000C4010000}"/>
    <cellStyle name="Prozent 2 2 7" xfId="660" xr:uid="{00000000-0005-0000-0000-0000C5010000}"/>
    <cellStyle name="Prozent 2 2 8" xfId="913" xr:uid="{00000000-0005-0000-0000-0000C6010000}"/>
    <cellStyle name="Prozent 2 3" xfId="100" xr:uid="{00000000-0005-0000-0000-0000C7010000}"/>
    <cellStyle name="Prozent 2 3 2" xfId="101" xr:uid="{00000000-0005-0000-0000-0000C8010000}"/>
    <cellStyle name="Prozent 2 3 2 2" xfId="163" xr:uid="{00000000-0005-0000-0000-0000C9010000}"/>
    <cellStyle name="Prozent 2 3 2 2 2" xfId="244" xr:uid="{00000000-0005-0000-0000-0000CA010000}"/>
    <cellStyle name="Prozent 2 3 2 2 2 2" xfId="607" xr:uid="{00000000-0005-0000-0000-0000CB010000}"/>
    <cellStyle name="Prozent 2 3 2 2 2 3" xfId="874" xr:uid="{00000000-0005-0000-0000-0000CC010000}"/>
    <cellStyle name="Prozent 2 3 2 2 2 4" xfId="1118" xr:uid="{00000000-0005-0000-0000-0000CD010000}"/>
    <cellStyle name="Prozent 2 3 2 2 3" xfId="365" xr:uid="{00000000-0005-0000-0000-0000CE010000}"/>
    <cellStyle name="Prozent 2 3 2 2 4" xfId="486" xr:uid="{00000000-0005-0000-0000-0000CF010000}"/>
    <cellStyle name="Prozent 2 3 2 2 5" xfId="753" xr:uid="{00000000-0005-0000-0000-0000D0010000}"/>
    <cellStyle name="Prozent 2 3 2 2 6" xfId="997" xr:uid="{00000000-0005-0000-0000-0000D1010000}"/>
    <cellStyle name="Prozent 2 3 2 3" xfId="201" xr:uid="{00000000-0005-0000-0000-0000D2010000}"/>
    <cellStyle name="Prozent 2 3 2 3 2" xfId="324" xr:uid="{00000000-0005-0000-0000-0000D3010000}"/>
    <cellStyle name="Prozent 2 3 2 3 2 2" xfId="566" xr:uid="{00000000-0005-0000-0000-0000D4010000}"/>
    <cellStyle name="Prozent 2 3 2 3 2 3" xfId="833" xr:uid="{00000000-0005-0000-0000-0000D5010000}"/>
    <cellStyle name="Prozent 2 3 2 3 2 4" xfId="1077" xr:uid="{00000000-0005-0000-0000-0000D6010000}"/>
    <cellStyle name="Prozent 2 3 2 3 3" xfId="445" xr:uid="{00000000-0005-0000-0000-0000D7010000}"/>
    <cellStyle name="Prozent 2 3 2 3 4" xfId="712" xr:uid="{00000000-0005-0000-0000-0000D8010000}"/>
    <cellStyle name="Prozent 2 3 2 3 5" xfId="956" xr:uid="{00000000-0005-0000-0000-0000D9010000}"/>
    <cellStyle name="Prozent 2 3 2 4" xfId="284" xr:uid="{00000000-0005-0000-0000-0000DA010000}"/>
    <cellStyle name="Prozent 2 3 2 4 2" xfId="526" xr:uid="{00000000-0005-0000-0000-0000DB010000}"/>
    <cellStyle name="Prozent 2 3 2 4 3" xfId="793" xr:uid="{00000000-0005-0000-0000-0000DC010000}"/>
    <cellStyle name="Prozent 2 3 2 4 4" xfId="1037" xr:uid="{00000000-0005-0000-0000-0000DD010000}"/>
    <cellStyle name="Prozent 2 3 2 5" xfId="405" xr:uid="{00000000-0005-0000-0000-0000DE010000}"/>
    <cellStyle name="Prozent 2 3 2 6" xfId="663" xr:uid="{00000000-0005-0000-0000-0000DF010000}"/>
    <cellStyle name="Prozent 2 3 2 7" xfId="916" xr:uid="{00000000-0005-0000-0000-0000E0010000}"/>
    <cellStyle name="Prozent 2 3 3" xfId="162" xr:uid="{00000000-0005-0000-0000-0000E1010000}"/>
    <cellStyle name="Prozent 2 3 3 2" xfId="243" xr:uid="{00000000-0005-0000-0000-0000E2010000}"/>
    <cellStyle name="Prozent 2 3 3 2 2" xfId="606" xr:uid="{00000000-0005-0000-0000-0000E3010000}"/>
    <cellStyle name="Prozent 2 3 3 2 3" xfId="873" xr:uid="{00000000-0005-0000-0000-0000E4010000}"/>
    <cellStyle name="Prozent 2 3 3 2 4" xfId="1117" xr:uid="{00000000-0005-0000-0000-0000E5010000}"/>
    <cellStyle name="Prozent 2 3 3 3" xfId="364" xr:uid="{00000000-0005-0000-0000-0000E6010000}"/>
    <cellStyle name="Prozent 2 3 3 4" xfId="485" xr:uid="{00000000-0005-0000-0000-0000E7010000}"/>
    <cellStyle name="Prozent 2 3 3 5" xfId="752" xr:uid="{00000000-0005-0000-0000-0000E8010000}"/>
    <cellStyle name="Prozent 2 3 3 6" xfId="996" xr:uid="{00000000-0005-0000-0000-0000E9010000}"/>
    <cellStyle name="Prozent 2 3 4" xfId="202" xr:uid="{00000000-0005-0000-0000-0000EA010000}"/>
    <cellStyle name="Prozent 2 3 4 2" xfId="323" xr:uid="{00000000-0005-0000-0000-0000EB010000}"/>
    <cellStyle name="Prozent 2 3 4 2 2" xfId="565" xr:uid="{00000000-0005-0000-0000-0000EC010000}"/>
    <cellStyle name="Prozent 2 3 4 2 3" xfId="832" xr:uid="{00000000-0005-0000-0000-0000ED010000}"/>
    <cellStyle name="Prozent 2 3 4 2 4" xfId="1076" xr:uid="{00000000-0005-0000-0000-0000EE010000}"/>
    <cellStyle name="Prozent 2 3 4 3" xfId="444" xr:uid="{00000000-0005-0000-0000-0000EF010000}"/>
    <cellStyle name="Prozent 2 3 4 4" xfId="711" xr:uid="{00000000-0005-0000-0000-0000F0010000}"/>
    <cellStyle name="Prozent 2 3 4 5" xfId="955" xr:uid="{00000000-0005-0000-0000-0000F1010000}"/>
    <cellStyle name="Prozent 2 3 5" xfId="283" xr:uid="{00000000-0005-0000-0000-0000F2010000}"/>
    <cellStyle name="Prozent 2 3 5 2" xfId="525" xr:uid="{00000000-0005-0000-0000-0000F3010000}"/>
    <cellStyle name="Prozent 2 3 5 3" xfId="792" xr:uid="{00000000-0005-0000-0000-0000F4010000}"/>
    <cellStyle name="Prozent 2 3 5 4" xfId="1036" xr:uid="{00000000-0005-0000-0000-0000F5010000}"/>
    <cellStyle name="Prozent 2 3 6" xfId="404" xr:uid="{00000000-0005-0000-0000-0000F6010000}"/>
    <cellStyle name="Prozent 2 3 7" xfId="662" xr:uid="{00000000-0005-0000-0000-0000F7010000}"/>
    <cellStyle name="Prozent 2 3 8" xfId="915" xr:uid="{00000000-0005-0000-0000-0000F8010000}"/>
    <cellStyle name="Prozent 2 4" xfId="102" xr:uid="{00000000-0005-0000-0000-0000F9010000}"/>
    <cellStyle name="Prozent 2 4 2" xfId="164" xr:uid="{00000000-0005-0000-0000-0000FA010000}"/>
    <cellStyle name="Prozent 2 4 2 2" xfId="245" xr:uid="{00000000-0005-0000-0000-0000FB010000}"/>
    <cellStyle name="Prozent 2 4 2 2 2" xfId="608" xr:uid="{00000000-0005-0000-0000-0000FC010000}"/>
    <cellStyle name="Prozent 2 4 2 2 3" xfId="875" xr:uid="{00000000-0005-0000-0000-0000FD010000}"/>
    <cellStyle name="Prozent 2 4 2 2 4" xfId="1119" xr:uid="{00000000-0005-0000-0000-0000FE010000}"/>
    <cellStyle name="Prozent 2 4 2 3" xfId="366" xr:uid="{00000000-0005-0000-0000-0000FF010000}"/>
    <cellStyle name="Prozent 2 4 2 4" xfId="487" xr:uid="{00000000-0005-0000-0000-000000020000}"/>
    <cellStyle name="Prozent 2 4 2 5" xfId="754" xr:uid="{00000000-0005-0000-0000-000001020000}"/>
    <cellStyle name="Prozent 2 4 2 6" xfId="998" xr:uid="{00000000-0005-0000-0000-000002020000}"/>
    <cellStyle name="Prozent 2 4 3" xfId="203" xr:uid="{00000000-0005-0000-0000-000003020000}"/>
    <cellStyle name="Prozent 2 4 3 2" xfId="325" xr:uid="{00000000-0005-0000-0000-000004020000}"/>
    <cellStyle name="Prozent 2 4 3 2 2" xfId="567" xr:uid="{00000000-0005-0000-0000-000005020000}"/>
    <cellStyle name="Prozent 2 4 3 2 3" xfId="834" xr:uid="{00000000-0005-0000-0000-000006020000}"/>
    <cellStyle name="Prozent 2 4 3 2 4" xfId="1078" xr:uid="{00000000-0005-0000-0000-000007020000}"/>
    <cellStyle name="Prozent 2 4 3 3" xfId="446" xr:uid="{00000000-0005-0000-0000-000008020000}"/>
    <cellStyle name="Prozent 2 4 3 4" xfId="713" xr:uid="{00000000-0005-0000-0000-000009020000}"/>
    <cellStyle name="Prozent 2 4 3 5" xfId="957" xr:uid="{00000000-0005-0000-0000-00000A020000}"/>
    <cellStyle name="Prozent 2 4 4" xfId="285" xr:uid="{00000000-0005-0000-0000-00000B020000}"/>
    <cellStyle name="Prozent 2 4 4 2" xfId="527" xr:uid="{00000000-0005-0000-0000-00000C020000}"/>
    <cellStyle name="Prozent 2 4 4 3" xfId="794" xr:uid="{00000000-0005-0000-0000-00000D020000}"/>
    <cellStyle name="Prozent 2 4 4 4" xfId="1038" xr:uid="{00000000-0005-0000-0000-00000E020000}"/>
    <cellStyle name="Prozent 2 4 5" xfId="406" xr:uid="{00000000-0005-0000-0000-00000F020000}"/>
    <cellStyle name="Prozent 2 4 6" xfId="664" xr:uid="{00000000-0005-0000-0000-000010020000}"/>
    <cellStyle name="Prozent 2 4 7" xfId="917" xr:uid="{00000000-0005-0000-0000-000011020000}"/>
    <cellStyle name="Prozent 2 5" xfId="103" xr:uid="{00000000-0005-0000-0000-000012020000}"/>
    <cellStyle name="Prozent 2 5 2" xfId="165" xr:uid="{00000000-0005-0000-0000-000013020000}"/>
    <cellStyle name="Prozent 2 5 2 2" xfId="246" xr:uid="{00000000-0005-0000-0000-000014020000}"/>
    <cellStyle name="Prozent 2 5 2 2 2" xfId="609" xr:uid="{00000000-0005-0000-0000-000015020000}"/>
    <cellStyle name="Prozent 2 5 2 2 3" xfId="876" xr:uid="{00000000-0005-0000-0000-000016020000}"/>
    <cellStyle name="Prozent 2 5 2 2 4" xfId="1120" xr:uid="{00000000-0005-0000-0000-000017020000}"/>
    <cellStyle name="Prozent 2 5 2 3" xfId="367" xr:uid="{00000000-0005-0000-0000-000018020000}"/>
    <cellStyle name="Prozent 2 5 2 4" xfId="488" xr:uid="{00000000-0005-0000-0000-000019020000}"/>
    <cellStyle name="Prozent 2 5 2 5" xfId="755" xr:uid="{00000000-0005-0000-0000-00001A020000}"/>
    <cellStyle name="Prozent 2 5 2 6" xfId="999" xr:uid="{00000000-0005-0000-0000-00001B020000}"/>
    <cellStyle name="Prozent 2 5 3" xfId="204" xr:uid="{00000000-0005-0000-0000-00001C020000}"/>
    <cellStyle name="Prozent 2 5 3 2" xfId="326" xr:uid="{00000000-0005-0000-0000-00001D020000}"/>
    <cellStyle name="Prozent 2 5 3 2 2" xfId="568" xr:uid="{00000000-0005-0000-0000-00001E020000}"/>
    <cellStyle name="Prozent 2 5 3 2 3" xfId="835" xr:uid="{00000000-0005-0000-0000-00001F020000}"/>
    <cellStyle name="Prozent 2 5 3 2 4" xfId="1079" xr:uid="{00000000-0005-0000-0000-000020020000}"/>
    <cellStyle name="Prozent 2 5 3 3" xfId="447" xr:uid="{00000000-0005-0000-0000-000021020000}"/>
    <cellStyle name="Prozent 2 5 3 4" xfId="714" xr:uid="{00000000-0005-0000-0000-000022020000}"/>
    <cellStyle name="Prozent 2 5 3 5" xfId="958" xr:uid="{00000000-0005-0000-0000-000023020000}"/>
    <cellStyle name="Prozent 2 5 4" xfId="286" xr:uid="{00000000-0005-0000-0000-000024020000}"/>
    <cellStyle name="Prozent 2 5 4 2" xfId="528" xr:uid="{00000000-0005-0000-0000-000025020000}"/>
    <cellStyle name="Prozent 2 5 4 3" xfId="795" xr:uid="{00000000-0005-0000-0000-000026020000}"/>
    <cellStyle name="Prozent 2 5 4 4" xfId="1039" xr:uid="{00000000-0005-0000-0000-000027020000}"/>
    <cellStyle name="Prozent 2 5 5" xfId="407" xr:uid="{00000000-0005-0000-0000-000028020000}"/>
    <cellStyle name="Prozent 2 5 6" xfId="665" xr:uid="{00000000-0005-0000-0000-000029020000}"/>
    <cellStyle name="Prozent 2 5 7" xfId="918" xr:uid="{00000000-0005-0000-0000-00002A020000}"/>
    <cellStyle name="Prozent 2 6" xfId="159" xr:uid="{00000000-0005-0000-0000-00002B020000}"/>
    <cellStyle name="Prozent 2 6 2" xfId="240" xr:uid="{00000000-0005-0000-0000-00002C020000}"/>
    <cellStyle name="Prozent 2 6 2 2" xfId="603" xr:uid="{00000000-0005-0000-0000-00002D020000}"/>
    <cellStyle name="Prozent 2 6 2 3" xfId="870" xr:uid="{00000000-0005-0000-0000-00002E020000}"/>
    <cellStyle name="Prozent 2 6 2 4" xfId="1114" xr:uid="{00000000-0005-0000-0000-00002F020000}"/>
    <cellStyle name="Prozent 2 6 3" xfId="361" xr:uid="{00000000-0005-0000-0000-000030020000}"/>
    <cellStyle name="Prozent 2 6 4" xfId="482" xr:uid="{00000000-0005-0000-0000-000031020000}"/>
    <cellStyle name="Prozent 2 6 5" xfId="749" xr:uid="{00000000-0005-0000-0000-000032020000}"/>
    <cellStyle name="Prozent 2 6 6" xfId="993" xr:uid="{00000000-0005-0000-0000-000033020000}"/>
    <cellStyle name="Prozent 2 7" xfId="205" xr:uid="{00000000-0005-0000-0000-000034020000}"/>
    <cellStyle name="Prozent 2 7 2" xfId="320" xr:uid="{00000000-0005-0000-0000-000035020000}"/>
    <cellStyle name="Prozent 2 7 2 2" xfId="562" xr:uid="{00000000-0005-0000-0000-000036020000}"/>
    <cellStyle name="Prozent 2 7 2 3" xfId="829" xr:uid="{00000000-0005-0000-0000-000037020000}"/>
    <cellStyle name="Prozent 2 7 2 4" xfId="1073" xr:uid="{00000000-0005-0000-0000-000038020000}"/>
    <cellStyle name="Prozent 2 7 3" xfId="441" xr:uid="{00000000-0005-0000-0000-000039020000}"/>
    <cellStyle name="Prozent 2 7 4" xfId="708" xr:uid="{00000000-0005-0000-0000-00003A020000}"/>
    <cellStyle name="Prozent 2 7 5" xfId="952" xr:uid="{00000000-0005-0000-0000-00003B020000}"/>
    <cellStyle name="Prozent 2 8" xfId="280" xr:uid="{00000000-0005-0000-0000-00003C020000}"/>
    <cellStyle name="Prozent 2 8 2" xfId="522" xr:uid="{00000000-0005-0000-0000-00003D020000}"/>
    <cellStyle name="Prozent 2 8 3" xfId="789" xr:uid="{00000000-0005-0000-0000-00003E020000}"/>
    <cellStyle name="Prozent 2 8 4" xfId="1033" xr:uid="{00000000-0005-0000-0000-00003F020000}"/>
    <cellStyle name="Prozent 2 9" xfId="401" xr:uid="{00000000-0005-0000-0000-000040020000}"/>
    <cellStyle name="Prozent 3" xfId="104" xr:uid="{00000000-0005-0000-0000-000041020000}"/>
    <cellStyle name="Schlecht" xfId="105" xr:uid="{00000000-0005-0000-0000-000042020000}"/>
    <cellStyle name="Schlecht 2" xfId="106" xr:uid="{00000000-0005-0000-0000-000043020000}"/>
    <cellStyle name="Schlecht 3" xfId="666" xr:uid="{00000000-0005-0000-0000-000044020000}"/>
    <cellStyle name="Standard" xfId="0" builtinId="0"/>
    <cellStyle name="Standard 2" xfId="107" xr:uid="{00000000-0005-0000-0000-000046020000}"/>
    <cellStyle name="Standard 2 2" xfId="1153" xr:uid="{00000000-0005-0000-0000-000047020000}"/>
    <cellStyle name="Standard 3" xfId="108" xr:uid="{00000000-0005-0000-0000-000048020000}"/>
    <cellStyle name="Standard 3 10" xfId="408" xr:uid="{00000000-0005-0000-0000-000049020000}"/>
    <cellStyle name="Standard 3 10 2" xfId="1148" xr:uid="{00000000-0005-0000-0000-00004A020000}"/>
    <cellStyle name="Standard 3 10 3" xfId="1151" xr:uid="{00000000-0005-0000-0000-00004B020000}"/>
    <cellStyle name="Standard 3 11" xfId="667" xr:uid="{00000000-0005-0000-0000-00004C020000}"/>
    <cellStyle name="Standard 3 12" xfId="919" xr:uid="{00000000-0005-0000-0000-00004D020000}"/>
    <cellStyle name="Standard 3 13" xfId="1146" xr:uid="{00000000-0005-0000-0000-00004E020000}"/>
    <cellStyle name="Standard 3 2" xfId="109" xr:uid="{00000000-0005-0000-0000-00004F020000}"/>
    <cellStyle name="Standard 3 2 10" xfId="668" xr:uid="{00000000-0005-0000-0000-000050020000}"/>
    <cellStyle name="Standard 3 2 11" xfId="920" xr:uid="{00000000-0005-0000-0000-000051020000}"/>
    <cellStyle name="Standard 3 2 12" xfId="1154" xr:uid="{D4361B8D-9E5C-4936-B5D0-CFE1ADCFC0A2}"/>
    <cellStyle name="Standard 3 2 2" xfId="110" xr:uid="{00000000-0005-0000-0000-000052020000}"/>
    <cellStyle name="Standard 3 2 2 2" xfId="111" xr:uid="{00000000-0005-0000-0000-000053020000}"/>
    <cellStyle name="Standard 3 2 2 2 2" xfId="169" xr:uid="{00000000-0005-0000-0000-000054020000}"/>
    <cellStyle name="Standard 3 2 2 2 2 2" xfId="250" xr:uid="{00000000-0005-0000-0000-000055020000}"/>
    <cellStyle name="Standard 3 2 2 2 2 2 2" xfId="613" xr:uid="{00000000-0005-0000-0000-000056020000}"/>
    <cellStyle name="Standard 3 2 2 2 2 2 3" xfId="880" xr:uid="{00000000-0005-0000-0000-000057020000}"/>
    <cellStyle name="Standard 3 2 2 2 2 2 4" xfId="1124" xr:uid="{00000000-0005-0000-0000-000058020000}"/>
    <cellStyle name="Standard 3 2 2 2 2 3" xfId="371" xr:uid="{00000000-0005-0000-0000-000059020000}"/>
    <cellStyle name="Standard 3 2 2 2 2 3 2" xfId="1149" xr:uid="{00000000-0005-0000-0000-00005A020000}"/>
    <cellStyle name="Standard 3 2 2 2 2 3 3" xfId="1152" xr:uid="{00000000-0005-0000-0000-00005B020000}"/>
    <cellStyle name="Standard 3 2 2 2 2 4" xfId="492" xr:uid="{00000000-0005-0000-0000-00005C020000}"/>
    <cellStyle name="Standard 3 2 2 2 2 5" xfId="759" xr:uid="{00000000-0005-0000-0000-00005D020000}"/>
    <cellStyle name="Standard 3 2 2 2 2 6" xfId="1003" xr:uid="{00000000-0005-0000-0000-00005E020000}"/>
    <cellStyle name="Standard 3 2 2 2 2 7" xfId="1147" xr:uid="{00000000-0005-0000-0000-00005F020000}"/>
    <cellStyle name="Standard 3 2 2 2 3" xfId="206" xr:uid="{00000000-0005-0000-0000-000060020000}"/>
    <cellStyle name="Standard 3 2 2 2 3 2" xfId="330" xr:uid="{00000000-0005-0000-0000-000061020000}"/>
    <cellStyle name="Standard 3 2 2 2 3 2 2" xfId="572" xr:uid="{00000000-0005-0000-0000-000062020000}"/>
    <cellStyle name="Standard 3 2 2 2 3 2 3" xfId="839" xr:uid="{00000000-0005-0000-0000-000063020000}"/>
    <cellStyle name="Standard 3 2 2 2 3 2 4" xfId="1083" xr:uid="{00000000-0005-0000-0000-000064020000}"/>
    <cellStyle name="Standard 3 2 2 2 3 3" xfId="451" xr:uid="{00000000-0005-0000-0000-000065020000}"/>
    <cellStyle name="Standard 3 2 2 2 3 4" xfId="718" xr:uid="{00000000-0005-0000-0000-000066020000}"/>
    <cellStyle name="Standard 3 2 2 2 3 5" xfId="962" xr:uid="{00000000-0005-0000-0000-000067020000}"/>
    <cellStyle name="Standard 3 2 2 2 4" xfId="290" xr:uid="{00000000-0005-0000-0000-000068020000}"/>
    <cellStyle name="Standard 3 2 2 2 4 2" xfId="532" xr:uid="{00000000-0005-0000-0000-000069020000}"/>
    <cellStyle name="Standard 3 2 2 2 4 3" xfId="799" xr:uid="{00000000-0005-0000-0000-00006A020000}"/>
    <cellStyle name="Standard 3 2 2 2 4 4" xfId="1043" xr:uid="{00000000-0005-0000-0000-00006B020000}"/>
    <cellStyle name="Standard 3 2 2 2 5" xfId="411" xr:uid="{00000000-0005-0000-0000-00006C020000}"/>
    <cellStyle name="Standard 3 2 2 2 6" xfId="670" xr:uid="{00000000-0005-0000-0000-00006D020000}"/>
    <cellStyle name="Standard 3 2 2 2 7" xfId="922" xr:uid="{00000000-0005-0000-0000-00006E020000}"/>
    <cellStyle name="Standard 3 2 2 3" xfId="168" xr:uid="{00000000-0005-0000-0000-00006F020000}"/>
    <cellStyle name="Standard 3 2 2 3 2" xfId="249" xr:uid="{00000000-0005-0000-0000-000070020000}"/>
    <cellStyle name="Standard 3 2 2 3 2 2" xfId="612" xr:uid="{00000000-0005-0000-0000-000071020000}"/>
    <cellStyle name="Standard 3 2 2 3 2 3" xfId="879" xr:uid="{00000000-0005-0000-0000-000072020000}"/>
    <cellStyle name="Standard 3 2 2 3 2 4" xfId="1123" xr:uid="{00000000-0005-0000-0000-000073020000}"/>
    <cellStyle name="Standard 3 2 2 3 3" xfId="370" xr:uid="{00000000-0005-0000-0000-000074020000}"/>
    <cellStyle name="Standard 3 2 2 3 4" xfId="491" xr:uid="{00000000-0005-0000-0000-000075020000}"/>
    <cellStyle name="Standard 3 2 2 3 5" xfId="758" xr:uid="{00000000-0005-0000-0000-000076020000}"/>
    <cellStyle name="Standard 3 2 2 3 6" xfId="1002" xr:uid="{00000000-0005-0000-0000-000077020000}"/>
    <cellStyle name="Standard 3 2 2 4" xfId="207" xr:uid="{00000000-0005-0000-0000-000078020000}"/>
    <cellStyle name="Standard 3 2 2 4 2" xfId="329" xr:uid="{00000000-0005-0000-0000-000079020000}"/>
    <cellStyle name="Standard 3 2 2 4 2 2" xfId="571" xr:uid="{00000000-0005-0000-0000-00007A020000}"/>
    <cellStyle name="Standard 3 2 2 4 2 3" xfId="838" xr:uid="{00000000-0005-0000-0000-00007B020000}"/>
    <cellStyle name="Standard 3 2 2 4 2 4" xfId="1082" xr:uid="{00000000-0005-0000-0000-00007C020000}"/>
    <cellStyle name="Standard 3 2 2 4 3" xfId="450" xr:uid="{00000000-0005-0000-0000-00007D020000}"/>
    <cellStyle name="Standard 3 2 2 4 4" xfId="717" xr:uid="{00000000-0005-0000-0000-00007E020000}"/>
    <cellStyle name="Standard 3 2 2 4 5" xfId="961" xr:uid="{00000000-0005-0000-0000-00007F020000}"/>
    <cellStyle name="Standard 3 2 2 5" xfId="289" xr:uid="{00000000-0005-0000-0000-000080020000}"/>
    <cellStyle name="Standard 3 2 2 5 2" xfId="531" xr:uid="{00000000-0005-0000-0000-000081020000}"/>
    <cellStyle name="Standard 3 2 2 5 3" xfId="798" xr:uid="{00000000-0005-0000-0000-000082020000}"/>
    <cellStyle name="Standard 3 2 2 5 4" xfId="1042" xr:uid="{00000000-0005-0000-0000-000083020000}"/>
    <cellStyle name="Standard 3 2 2 6" xfId="410" xr:uid="{00000000-0005-0000-0000-000084020000}"/>
    <cellStyle name="Standard 3 2 2 7" xfId="669" xr:uid="{00000000-0005-0000-0000-000085020000}"/>
    <cellStyle name="Standard 3 2 2 8" xfId="921" xr:uid="{00000000-0005-0000-0000-000086020000}"/>
    <cellStyle name="Standard 3 2 3" xfId="112" xr:uid="{00000000-0005-0000-0000-000087020000}"/>
    <cellStyle name="Standard 3 2 3 2" xfId="113" xr:uid="{00000000-0005-0000-0000-000088020000}"/>
    <cellStyle name="Standard 3 2 3 2 2" xfId="171" xr:uid="{00000000-0005-0000-0000-000089020000}"/>
    <cellStyle name="Standard 3 2 3 2 2 2" xfId="252" xr:uid="{00000000-0005-0000-0000-00008A020000}"/>
    <cellStyle name="Standard 3 2 3 2 2 2 2" xfId="615" xr:uid="{00000000-0005-0000-0000-00008B020000}"/>
    <cellStyle name="Standard 3 2 3 2 2 2 3" xfId="882" xr:uid="{00000000-0005-0000-0000-00008C020000}"/>
    <cellStyle name="Standard 3 2 3 2 2 2 4" xfId="1126" xr:uid="{00000000-0005-0000-0000-00008D020000}"/>
    <cellStyle name="Standard 3 2 3 2 2 3" xfId="373" xr:uid="{00000000-0005-0000-0000-00008E020000}"/>
    <cellStyle name="Standard 3 2 3 2 2 4" xfId="494" xr:uid="{00000000-0005-0000-0000-00008F020000}"/>
    <cellStyle name="Standard 3 2 3 2 2 5" xfId="761" xr:uid="{00000000-0005-0000-0000-000090020000}"/>
    <cellStyle name="Standard 3 2 3 2 2 6" xfId="1005" xr:uid="{00000000-0005-0000-0000-000091020000}"/>
    <cellStyle name="Standard 3 2 3 2 3" xfId="208" xr:uid="{00000000-0005-0000-0000-000092020000}"/>
    <cellStyle name="Standard 3 2 3 2 3 2" xfId="332" xr:uid="{00000000-0005-0000-0000-000093020000}"/>
    <cellStyle name="Standard 3 2 3 2 3 2 2" xfId="574" xr:uid="{00000000-0005-0000-0000-000094020000}"/>
    <cellStyle name="Standard 3 2 3 2 3 2 3" xfId="841" xr:uid="{00000000-0005-0000-0000-000095020000}"/>
    <cellStyle name="Standard 3 2 3 2 3 2 4" xfId="1085" xr:uid="{00000000-0005-0000-0000-000096020000}"/>
    <cellStyle name="Standard 3 2 3 2 3 3" xfId="453" xr:uid="{00000000-0005-0000-0000-000097020000}"/>
    <cellStyle name="Standard 3 2 3 2 3 4" xfId="720" xr:uid="{00000000-0005-0000-0000-000098020000}"/>
    <cellStyle name="Standard 3 2 3 2 3 5" xfId="964" xr:uid="{00000000-0005-0000-0000-000099020000}"/>
    <cellStyle name="Standard 3 2 3 2 4" xfId="292" xr:uid="{00000000-0005-0000-0000-00009A020000}"/>
    <cellStyle name="Standard 3 2 3 2 4 2" xfId="534" xr:uid="{00000000-0005-0000-0000-00009B020000}"/>
    <cellStyle name="Standard 3 2 3 2 4 3" xfId="801" xr:uid="{00000000-0005-0000-0000-00009C020000}"/>
    <cellStyle name="Standard 3 2 3 2 4 4" xfId="1045" xr:uid="{00000000-0005-0000-0000-00009D020000}"/>
    <cellStyle name="Standard 3 2 3 2 5" xfId="413" xr:uid="{00000000-0005-0000-0000-00009E020000}"/>
    <cellStyle name="Standard 3 2 3 2 6" xfId="672" xr:uid="{00000000-0005-0000-0000-00009F020000}"/>
    <cellStyle name="Standard 3 2 3 2 7" xfId="924" xr:uid="{00000000-0005-0000-0000-0000A0020000}"/>
    <cellStyle name="Standard 3 2 3 3" xfId="170" xr:uid="{00000000-0005-0000-0000-0000A1020000}"/>
    <cellStyle name="Standard 3 2 3 3 2" xfId="251" xr:uid="{00000000-0005-0000-0000-0000A2020000}"/>
    <cellStyle name="Standard 3 2 3 3 2 2" xfId="614" xr:uid="{00000000-0005-0000-0000-0000A3020000}"/>
    <cellStyle name="Standard 3 2 3 3 2 3" xfId="881" xr:uid="{00000000-0005-0000-0000-0000A4020000}"/>
    <cellStyle name="Standard 3 2 3 3 2 4" xfId="1125" xr:uid="{00000000-0005-0000-0000-0000A5020000}"/>
    <cellStyle name="Standard 3 2 3 3 3" xfId="372" xr:uid="{00000000-0005-0000-0000-0000A6020000}"/>
    <cellStyle name="Standard 3 2 3 3 4" xfId="493" xr:uid="{00000000-0005-0000-0000-0000A7020000}"/>
    <cellStyle name="Standard 3 2 3 3 5" xfId="760" xr:uid="{00000000-0005-0000-0000-0000A8020000}"/>
    <cellStyle name="Standard 3 2 3 3 6" xfId="1004" xr:uid="{00000000-0005-0000-0000-0000A9020000}"/>
    <cellStyle name="Standard 3 2 3 4" xfId="209" xr:uid="{00000000-0005-0000-0000-0000AA020000}"/>
    <cellStyle name="Standard 3 2 3 4 2" xfId="331" xr:uid="{00000000-0005-0000-0000-0000AB020000}"/>
    <cellStyle name="Standard 3 2 3 4 2 2" xfId="573" xr:uid="{00000000-0005-0000-0000-0000AC020000}"/>
    <cellStyle name="Standard 3 2 3 4 2 3" xfId="840" xr:uid="{00000000-0005-0000-0000-0000AD020000}"/>
    <cellStyle name="Standard 3 2 3 4 2 4" xfId="1084" xr:uid="{00000000-0005-0000-0000-0000AE020000}"/>
    <cellStyle name="Standard 3 2 3 4 3" xfId="452" xr:uid="{00000000-0005-0000-0000-0000AF020000}"/>
    <cellStyle name="Standard 3 2 3 4 4" xfId="719" xr:uid="{00000000-0005-0000-0000-0000B0020000}"/>
    <cellStyle name="Standard 3 2 3 4 5" xfId="963" xr:uid="{00000000-0005-0000-0000-0000B1020000}"/>
    <cellStyle name="Standard 3 2 3 5" xfId="291" xr:uid="{00000000-0005-0000-0000-0000B2020000}"/>
    <cellStyle name="Standard 3 2 3 5 2" xfId="533" xr:uid="{00000000-0005-0000-0000-0000B3020000}"/>
    <cellStyle name="Standard 3 2 3 5 3" xfId="800" xr:uid="{00000000-0005-0000-0000-0000B4020000}"/>
    <cellStyle name="Standard 3 2 3 5 4" xfId="1044" xr:uid="{00000000-0005-0000-0000-0000B5020000}"/>
    <cellStyle name="Standard 3 2 3 6" xfId="412" xr:uid="{00000000-0005-0000-0000-0000B6020000}"/>
    <cellStyle name="Standard 3 2 3 7" xfId="671" xr:uid="{00000000-0005-0000-0000-0000B7020000}"/>
    <cellStyle name="Standard 3 2 3 8" xfId="923" xr:uid="{00000000-0005-0000-0000-0000B8020000}"/>
    <cellStyle name="Standard 3 2 4" xfId="114" xr:uid="{00000000-0005-0000-0000-0000B9020000}"/>
    <cellStyle name="Standard 3 2 4 2" xfId="172" xr:uid="{00000000-0005-0000-0000-0000BA020000}"/>
    <cellStyle name="Standard 3 2 4 2 2" xfId="253" xr:uid="{00000000-0005-0000-0000-0000BB020000}"/>
    <cellStyle name="Standard 3 2 4 2 2 2" xfId="616" xr:uid="{00000000-0005-0000-0000-0000BC020000}"/>
    <cellStyle name="Standard 3 2 4 2 2 3" xfId="883" xr:uid="{00000000-0005-0000-0000-0000BD020000}"/>
    <cellStyle name="Standard 3 2 4 2 2 4" xfId="1127" xr:uid="{00000000-0005-0000-0000-0000BE020000}"/>
    <cellStyle name="Standard 3 2 4 2 3" xfId="374" xr:uid="{00000000-0005-0000-0000-0000BF020000}"/>
    <cellStyle name="Standard 3 2 4 2 4" xfId="495" xr:uid="{00000000-0005-0000-0000-0000C0020000}"/>
    <cellStyle name="Standard 3 2 4 2 5" xfId="762" xr:uid="{00000000-0005-0000-0000-0000C1020000}"/>
    <cellStyle name="Standard 3 2 4 2 6" xfId="1006" xr:uid="{00000000-0005-0000-0000-0000C2020000}"/>
    <cellStyle name="Standard 3 2 4 3" xfId="210" xr:uid="{00000000-0005-0000-0000-0000C3020000}"/>
    <cellStyle name="Standard 3 2 4 3 2" xfId="333" xr:uid="{00000000-0005-0000-0000-0000C4020000}"/>
    <cellStyle name="Standard 3 2 4 3 2 2" xfId="575" xr:uid="{00000000-0005-0000-0000-0000C5020000}"/>
    <cellStyle name="Standard 3 2 4 3 2 3" xfId="842" xr:uid="{00000000-0005-0000-0000-0000C6020000}"/>
    <cellStyle name="Standard 3 2 4 3 2 4" xfId="1086" xr:uid="{00000000-0005-0000-0000-0000C7020000}"/>
    <cellStyle name="Standard 3 2 4 3 3" xfId="454" xr:uid="{00000000-0005-0000-0000-0000C8020000}"/>
    <cellStyle name="Standard 3 2 4 3 4" xfId="721" xr:uid="{00000000-0005-0000-0000-0000C9020000}"/>
    <cellStyle name="Standard 3 2 4 3 5" xfId="965" xr:uid="{00000000-0005-0000-0000-0000CA020000}"/>
    <cellStyle name="Standard 3 2 4 4" xfId="293" xr:uid="{00000000-0005-0000-0000-0000CB020000}"/>
    <cellStyle name="Standard 3 2 4 4 2" xfId="535" xr:uid="{00000000-0005-0000-0000-0000CC020000}"/>
    <cellStyle name="Standard 3 2 4 4 3" xfId="802" xr:uid="{00000000-0005-0000-0000-0000CD020000}"/>
    <cellStyle name="Standard 3 2 4 4 4" xfId="1046" xr:uid="{00000000-0005-0000-0000-0000CE020000}"/>
    <cellStyle name="Standard 3 2 4 5" xfId="414" xr:uid="{00000000-0005-0000-0000-0000CF020000}"/>
    <cellStyle name="Standard 3 2 4 6" xfId="673" xr:uid="{00000000-0005-0000-0000-0000D0020000}"/>
    <cellStyle name="Standard 3 2 4 7" xfId="925" xr:uid="{00000000-0005-0000-0000-0000D1020000}"/>
    <cellStyle name="Standard 3 2 5" xfId="115" xr:uid="{00000000-0005-0000-0000-0000D2020000}"/>
    <cellStyle name="Standard 3 2 5 2" xfId="173" xr:uid="{00000000-0005-0000-0000-0000D3020000}"/>
    <cellStyle name="Standard 3 2 5 2 2" xfId="254" xr:uid="{00000000-0005-0000-0000-0000D4020000}"/>
    <cellStyle name="Standard 3 2 5 2 2 2" xfId="617" xr:uid="{00000000-0005-0000-0000-0000D5020000}"/>
    <cellStyle name="Standard 3 2 5 2 2 3" xfId="884" xr:uid="{00000000-0005-0000-0000-0000D6020000}"/>
    <cellStyle name="Standard 3 2 5 2 2 4" xfId="1128" xr:uid="{00000000-0005-0000-0000-0000D7020000}"/>
    <cellStyle name="Standard 3 2 5 2 3" xfId="375" xr:uid="{00000000-0005-0000-0000-0000D8020000}"/>
    <cellStyle name="Standard 3 2 5 2 4" xfId="496" xr:uid="{00000000-0005-0000-0000-0000D9020000}"/>
    <cellStyle name="Standard 3 2 5 2 5" xfId="763" xr:uid="{00000000-0005-0000-0000-0000DA020000}"/>
    <cellStyle name="Standard 3 2 5 2 6" xfId="1007" xr:uid="{00000000-0005-0000-0000-0000DB020000}"/>
    <cellStyle name="Standard 3 2 5 3" xfId="211" xr:uid="{00000000-0005-0000-0000-0000DC020000}"/>
    <cellStyle name="Standard 3 2 5 3 2" xfId="334" xr:uid="{00000000-0005-0000-0000-0000DD020000}"/>
    <cellStyle name="Standard 3 2 5 3 2 2" xfId="576" xr:uid="{00000000-0005-0000-0000-0000DE020000}"/>
    <cellStyle name="Standard 3 2 5 3 2 3" xfId="843" xr:uid="{00000000-0005-0000-0000-0000DF020000}"/>
    <cellStyle name="Standard 3 2 5 3 2 4" xfId="1087" xr:uid="{00000000-0005-0000-0000-0000E0020000}"/>
    <cellStyle name="Standard 3 2 5 3 3" xfId="455" xr:uid="{00000000-0005-0000-0000-0000E1020000}"/>
    <cellStyle name="Standard 3 2 5 3 4" xfId="722" xr:uid="{00000000-0005-0000-0000-0000E2020000}"/>
    <cellStyle name="Standard 3 2 5 3 5" xfId="966" xr:uid="{00000000-0005-0000-0000-0000E3020000}"/>
    <cellStyle name="Standard 3 2 5 4" xfId="294" xr:uid="{00000000-0005-0000-0000-0000E4020000}"/>
    <cellStyle name="Standard 3 2 5 4 2" xfId="536" xr:uid="{00000000-0005-0000-0000-0000E5020000}"/>
    <cellStyle name="Standard 3 2 5 4 3" xfId="803" xr:uid="{00000000-0005-0000-0000-0000E6020000}"/>
    <cellStyle name="Standard 3 2 5 4 4" xfId="1047" xr:uid="{00000000-0005-0000-0000-0000E7020000}"/>
    <cellStyle name="Standard 3 2 5 5" xfId="415" xr:uid="{00000000-0005-0000-0000-0000E8020000}"/>
    <cellStyle name="Standard 3 2 5 6" xfId="674" xr:uid="{00000000-0005-0000-0000-0000E9020000}"/>
    <cellStyle name="Standard 3 2 5 7" xfId="926" xr:uid="{00000000-0005-0000-0000-0000EA020000}"/>
    <cellStyle name="Standard 3 2 6" xfId="167" xr:uid="{00000000-0005-0000-0000-0000EB020000}"/>
    <cellStyle name="Standard 3 2 6 2" xfId="248" xr:uid="{00000000-0005-0000-0000-0000EC020000}"/>
    <cellStyle name="Standard 3 2 6 2 2" xfId="611" xr:uid="{00000000-0005-0000-0000-0000ED020000}"/>
    <cellStyle name="Standard 3 2 6 2 3" xfId="878" xr:uid="{00000000-0005-0000-0000-0000EE020000}"/>
    <cellStyle name="Standard 3 2 6 2 4" xfId="1122" xr:uid="{00000000-0005-0000-0000-0000EF020000}"/>
    <cellStyle name="Standard 3 2 6 3" xfId="369" xr:uid="{00000000-0005-0000-0000-0000F0020000}"/>
    <cellStyle name="Standard 3 2 6 4" xfId="490" xr:uid="{00000000-0005-0000-0000-0000F1020000}"/>
    <cellStyle name="Standard 3 2 6 5" xfId="757" xr:uid="{00000000-0005-0000-0000-0000F2020000}"/>
    <cellStyle name="Standard 3 2 6 6" xfId="1001" xr:uid="{00000000-0005-0000-0000-0000F3020000}"/>
    <cellStyle name="Standard 3 2 7" xfId="212" xr:uid="{00000000-0005-0000-0000-0000F4020000}"/>
    <cellStyle name="Standard 3 2 7 2" xfId="328" xr:uid="{00000000-0005-0000-0000-0000F5020000}"/>
    <cellStyle name="Standard 3 2 7 2 2" xfId="570" xr:uid="{00000000-0005-0000-0000-0000F6020000}"/>
    <cellStyle name="Standard 3 2 7 2 3" xfId="837" xr:uid="{00000000-0005-0000-0000-0000F7020000}"/>
    <cellStyle name="Standard 3 2 7 2 4" xfId="1081" xr:uid="{00000000-0005-0000-0000-0000F8020000}"/>
    <cellStyle name="Standard 3 2 7 3" xfId="449" xr:uid="{00000000-0005-0000-0000-0000F9020000}"/>
    <cellStyle name="Standard 3 2 7 4" xfId="716" xr:uid="{00000000-0005-0000-0000-0000FA020000}"/>
    <cellStyle name="Standard 3 2 7 5" xfId="960" xr:uid="{00000000-0005-0000-0000-0000FB020000}"/>
    <cellStyle name="Standard 3 2 8" xfId="288" xr:uid="{00000000-0005-0000-0000-0000FC020000}"/>
    <cellStyle name="Standard 3 2 8 2" xfId="530" xr:uid="{00000000-0005-0000-0000-0000FD020000}"/>
    <cellStyle name="Standard 3 2 8 3" xfId="797" xr:uid="{00000000-0005-0000-0000-0000FE020000}"/>
    <cellStyle name="Standard 3 2 8 4" xfId="1041" xr:uid="{00000000-0005-0000-0000-0000FF020000}"/>
    <cellStyle name="Standard 3 2 9" xfId="409" xr:uid="{00000000-0005-0000-0000-000000030000}"/>
    <cellStyle name="Standard 3 3" xfId="116" xr:uid="{00000000-0005-0000-0000-000001030000}"/>
    <cellStyle name="Standard 3 3 2" xfId="117" xr:uid="{00000000-0005-0000-0000-000002030000}"/>
    <cellStyle name="Standard 3 3 2 2" xfId="175" xr:uid="{00000000-0005-0000-0000-000003030000}"/>
    <cellStyle name="Standard 3 3 2 2 2" xfId="256" xr:uid="{00000000-0005-0000-0000-000004030000}"/>
    <cellStyle name="Standard 3 3 2 2 2 2" xfId="619" xr:uid="{00000000-0005-0000-0000-000005030000}"/>
    <cellStyle name="Standard 3 3 2 2 2 3" xfId="886" xr:uid="{00000000-0005-0000-0000-000006030000}"/>
    <cellStyle name="Standard 3 3 2 2 2 4" xfId="1130" xr:uid="{00000000-0005-0000-0000-000007030000}"/>
    <cellStyle name="Standard 3 3 2 2 3" xfId="377" xr:uid="{00000000-0005-0000-0000-000008030000}"/>
    <cellStyle name="Standard 3 3 2 2 4" xfId="498" xr:uid="{00000000-0005-0000-0000-000009030000}"/>
    <cellStyle name="Standard 3 3 2 2 5" xfId="765" xr:uid="{00000000-0005-0000-0000-00000A030000}"/>
    <cellStyle name="Standard 3 3 2 2 6" xfId="1009" xr:uid="{00000000-0005-0000-0000-00000B030000}"/>
    <cellStyle name="Standard 3 3 2 3" xfId="213" xr:uid="{00000000-0005-0000-0000-00000C030000}"/>
    <cellStyle name="Standard 3 3 2 3 2" xfId="336" xr:uid="{00000000-0005-0000-0000-00000D030000}"/>
    <cellStyle name="Standard 3 3 2 3 2 2" xfId="578" xr:uid="{00000000-0005-0000-0000-00000E030000}"/>
    <cellStyle name="Standard 3 3 2 3 2 3" xfId="845" xr:uid="{00000000-0005-0000-0000-00000F030000}"/>
    <cellStyle name="Standard 3 3 2 3 2 4" xfId="1089" xr:uid="{00000000-0005-0000-0000-000010030000}"/>
    <cellStyle name="Standard 3 3 2 3 3" xfId="457" xr:uid="{00000000-0005-0000-0000-000011030000}"/>
    <cellStyle name="Standard 3 3 2 3 4" xfId="724" xr:uid="{00000000-0005-0000-0000-000012030000}"/>
    <cellStyle name="Standard 3 3 2 3 5" xfId="968" xr:uid="{00000000-0005-0000-0000-000013030000}"/>
    <cellStyle name="Standard 3 3 2 4" xfId="296" xr:uid="{00000000-0005-0000-0000-000014030000}"/>
    <cellStyle name="Standard 3 3 2 4 2" xfId="538" xr:uid="{00000000-0005-0000-0000-000015030000}"/>
    <cellStyle name="Standard 3 3 2 4 3" xfId="805" xr:uid="{00000000-0005-0000-0000-000016030000}"/>
    <cellStyle name="Standard 3 3 2 4 4" xfId="1049" xr:uid="{00000000-0005-0000-0000-000017030000}"/>
    <cellStyle name="Standard 3 3 2 5" xfId="417" xr:uid="{00000000-0005-0000-0000-000018030000}"/>
    <cellStyle name="Standard 3 3 2 6" xfId="676" xr:uid="{00000000-0005-0000-0000-000019030000}"/>
    <cellStyle name="Standard 3 3 2 7" xfId="928" xr:uid="{00000000-0005-0000-0000-00001A030000}"/>
    <cellStyle name="Standard 3 3 3" xfId="174" xr:uid="{00000000-0005-0000-0000-00001B030000}"/>
    <cellStyle name="Standard 3 3 3 2" xfId="255" xr:uid="{00000000-0005-0000-0000-00001C030000}"/>
    <cellStyle name="Standard 3 3 3 2 2" xfId="618" xr:uid="{00000000-0005-0000-0000-00001D030000}"/>
    <cellStyle name="Standard 3 3 3 2 3" xfId="885" xr:uid="{00000000-0005-0000-0000-00001E030000}"/>
    <cellStyle name="Standard 3 3 3 2 4" xfId="1129" xr:uid="{00000000-0005-0000-0000-00001F030000}"/>
    <cellStyle name="Standard 3 3 3 3" xfId="376" xr:uid="{00000000-0005-0000-0000-000020030000}"/>
    <cellStyle name="Standard 3 3 3 4" xfId="497" xr:uid="{00000000-0005-0000-0000-000021030000}"/>
    <cellStyle name="Standard 3 3 3 5" xfId="764" xr:uid="{00000000-0005-0000-0000-000022030000}"/>
    <cellStyle name="Standard 3 3 3 6" xfId="1008" xr:uid="{00000000-0005-0000-0000-000023030000}"/>
    <cellStyle name="Standard 3 3 4" xfId="214" xr:uid="{00000000-0005-0000-0000-000024030000}"/>
    <cellStyle name="Standard 3 3 4 2" xfId="335" xr:uid="{00000000-0005-0000-0000-000025030000}"/>
    <cellStyle name="Standard 3 3 4 2 2" xfId="577" xr:uid="{00000000-0005-0000-0000-000026030000}"/>
    <cellStyle name="Standard 3 3 4 2 3" xfId="844" xr:uid="{00000000-0005-0000-0000-000027030000}"/>
    <cellStyle name="Standard 3 3 4 2 4" xfId="1088" xr:uid="{00000000-0005-0000-0000-000028030000}"/>
    <cellStyle name="Standard 3 3 4 3" xfId="456" xr:uid="{00000000-0005-0000-0000-000029030000}"/>
    <cellStyle name="Standard 3 3 4 4" xfId="723" xr:uid="{00000000-0005-0000-0000-00002A030000}"/>
    <cellStyle name="Standard 3 3 4 5" xfId="967" xr:uid="{00000000-0005-0000-0000-00002B030000}"/>
    <cellStyle name="Standard 3 3 5" xfId="295" xr:uid="{00000000-0005-0000-0000-00002C030000}"/>
    <cellStyle name="Standard 3 3 5 2" xfId="537" xr:uid="{00000000-0005-0000-0000-00002D030000}"/>
    <cellStyle name="Standard 3 3 5 3" xfId="804" xr:uid="{00000000-0005-0000-0000-00002E030000}"/>
    <cellStyle name="Standard 3 3 5 4" xfId="1048" xr:uid="{00000000-0005-0000-0000-00002F030000}"/>
    <cellStyle name="Standard 3 3 6" xfId="416" xr:uid="{00000000-0005-0000-0000-000030030000}"/>
    <cellStyle name="Standard 3 3 7" xfId="675" xr:uid="{00000000-0005-0000-0000-000031030000}"/>
    <cellStyle name="Standard 3 3 8" xfId="927" xr:uid="{00000000-0005-0000-0000-000032030000}"/>
    <cellStyle name="Standard 3 4" xfId="118" xr:uid="{00000000-0005-0000-0000-000033030000}"/>
    <cellStyle name="Standard 3 4 2" xfId="119" xr:uid="{00000000-0005-0000-0000-000034030000}"/>
    <cellStyle name="Standard 3 4 2 2" xfId="177" xr:uid="{00000000-0005-0000-0000-000035030000}"/>
    <cellStyle name="Standard 3 4 2 2 2" xfId="258" xr:uid="{00000000-0005-0000-0000-000036030000}"/>
    <cellStyle name="Standard 3 4 2 2 2 2" xfId="621" xr:uid="{00000000-0005-0000-0000-000037030000}"/>
    <cellStyle name="Standard 3 4 2 2 2 3" xfId="888" xr:uid="{00000000-0005-0000-0000-000038030000}"/>
    <cellStyle name="Standard 3 4 2 2 2 4" xfId="1132" xr:uid="{00000000-0005-0000-0000-000039030000}"/>
    <cellStyle name="Standard 3 4 2 2 3" xfId="379" xr:uid="{00000000-0005-0000-0000-00003A030000}"/>
    <cellStyle name="Standard 3 4 2 2 4" xfId="500" xr:uid="{00000000-0005-0000-0000-00003B030000}"/>
    <cellStyle name="Standard 3 4 2 2 5" xfId="767" xr:uid="{00000000-0005-0000-0000-00003C030000}"/>
    <cellStyle name="Standard 3 4 2 2 6" xfId="1011" xr:uid="{00000000-0005-0000-0000-00003D030000}"/>
    <cellStyle name="Standard 3 4 2 3" xfId="215" xr:uid="{00000000-0005-0000-0000-00003E030000}"/>
    <cellStyle name="Standard 3 4 2 3 2" xfId="338" xr:uid="{00000000-0005-0000-0000-00003F030000}"/>
    <cellStyle name="Standard 3 4 2 3 2 2" xfId="580" xr:uid="{00000000-0005-0000-0000-000040030000}"/>
    <cellStyle name="Standard 3 4 2 3 2 3" xfId="847" xr:uid="{00000000-0005-0000-0000-000041030000}"/>
    <cellStyle name="Standard 3 4 2 3 2 4" xfId="1091" xr:uid="{00000000-0005-0000-0000-000042030000}"/>
    <cellStyle name="Standard 3 4 2 3 3" xfId="459" xr:uid="{00000000-0005-0000-0000-000043030000}"/>
    <cellStyle name="Standard 3 4 2 3 4" xfId="726" xr:uid="{00000000-0005-0000-0000-000044030000}"/>
    <cellStyle name="Standard 3 4 2 3 5" xfId="970" xr:uid="{00000000-0005-0000-0000-000045030000}"/>
    <cellStyle name="Standard 3 4 2 4" xfId="298" xr:uid="{00000000-0005-0000-0000-000046030000}"/>
    <cellStyle name="Standard 3 4 2 4 2" xfId="540" xr:uid="{00000000-0005-0000-0000-000047030000}"/>
    <cellStyle name="Standard 3 4 2 4 3" xfId="807" xr:uid="{00000000-0005-0000-0000-000048030000}"/>
    <cellStyle name="Standard 3 4 2 4 4" xfId="1051" xr:uid="{00000000-0005-0000-0000-000049030000}"/>
    <cellStyle name="Standard 3 4 2 5" xfId="419" xr:uid="{00000000-0005-0000-0000-00004A030000}"/>
    <cellStyle name="Standard 3 4 2 6" xfId="678" xr:uid="{00000000-0005-0000-0000-00004B030000}"/>
    <cellStyle name="Standard 3 4 2 7" xfId="930" xr:uid="{00000000-0005-0000-0000-00004C030000}"/>
    <cellStyle name="Standard 3 4 3" xfId="176" xr:uid="{00000000-0005-0000-0000-00004D030000}"/>
    <cellStyle name="Standard 3 4 3 2" xfId="257" xr:uid="{00000000-0005-0000-0000-00004E030000}"/>
    <cellStyle name="Standard 3 4 3 2 2" xfId="620" xr:uid="{00000000-0005-0000-0000-00004F030000}"/>
    <cellStyle name="Standard 3 4 3 2 3" xfId="887" xr:uid="{00000000-0005-0000-0000-000050030000}"/>
    <cellStyle name="Standard 3 4 3 2 4" xfId="1131" xr:uid="{00000000-0005-0000-0000-000051030000}"/>
    <cellStyle name="Standard 3 4 3 3" xfId="378" xr:uid="{00000000-0005-0000-0000-000052030000}"/>
    <cellStyle name="Standard 3 4 3 4" xfId="499" xr:uid="{00000000-0005-0000-0000-000053030000}"/>
    <cellStyle name="Standard 3 4 3 5" xfId="766" xr:uid="{00000000-0005-0000-0000-000054030000}"/>
    <cellStyle name="Standard 3 4 3 6" xfId="1010" xr:uid="{00000000-0005-0000-0000-000055030000}"/>
    <cellStyle name="Standard 3 4 4" xfId="216" xr:uid="{00000000-0005-0000-0000-000056030000}"/>
    <cellStyle name="Standard 3 4 4 2" xfId="337" xr:uid="{00000000-0005-0000-0000-000057030000}"/>
    <cellStyle name="Standard 3 4 4 2 2" xfId="579" xr:uid="{00000000-0005-0000-0000-000058030000}"/>
    <cellStyle name="Standard 3 4 4 2 3" xfId="846" xr:uid="{00000000-0005-0000-0000-000059030000}"/>
    <cellStyle name="Standard 3 4 4 2 4" xfId="1090" xr:uid="{00000000-0005-0000-0000-00005A030000}"/>
    <cellStyle name="Standard 3 4 4 3" xfId="458" xr:uid="{00000000-0005-0000-0000-00005B030000}"/>
    <cellStyle name="Standard 3 4 4 4" xfId="725" xr:uid="{00000000-0005-0000-0000-00005C030000}"/>
    <cellStyle name="Standard 3 4 4 5" xfId="969" xr:uid="{00000000-0005-0000-0000-00005D030000}"/>
    <cellStyle name="Standard 3 4 5" xfId="297" xr:uid="{00000000-0005-0000-0000-00005E030000}"/>
    <cellStyle name="Standard 3 4 5 2" xfId="539" xr:uid="{00000000-0005-0000-0000-00005F030000}"/>
    <cellStyle name="Standard 3 4 5 3" xfId="806" xr:uid="{00000000-0005-0000-0000-000060030000}"/>
    <cellStyle name="Standard 3 4 5 4" xfId="1050" xr:uid="{00000000-0005-0000-0000-000061030000}"/>
    <cellStyle name="Standard 3 4 6" xfId="418" xr:uid="{00000000-0005-0000-0000-000062030000}"/>
    <cellStyle name="Standard 3 4 7" xfId="677" xr:uid="{00000000-0005-0000-0000-000063030000}"/>
    <cellStyle name="Standard 3 4 8" xfId="929" xr:uid="{00000000-0005-0000-0000-000064030000}"/>
    <cellStyle name="Standard 3 5" xfId="120" xr:uid="{00000000-0005-0000-0000-000065030000}"/>
    <cellStyle name="Standard 3 5 2" xfId="178" xr:uid="{00000000-0005-0000-0000-000066030000}"/>
    <cellStyle name="Standard 3 5 2 2" xfId="259" xr:uid="{00000000-0005-0000-0000-000067030000}"/>
    <cellStyle name="Standard 3 5 2 2 2" xfId="622" xr:uid="{00000000-0005-0000-0000-000068030000}"/>
    <cellStyle name="Standard 3 5 2 2 3" xfId="889" xr:uid="{00000000-0005-0000-0000-000069030000}"/>
    <cellStyle name="Standard 3 5 2 2 4" xfId="1133" xr:uid="{00000000-0005-0000-0000-00006A030000}"/>
    <cellStyle name="Standard 3 5 2 3" xfId="380" xr:uid="{00000000-0005-0000-0000-00006B030000}"/>
    <cellStyle name="Standard 3 5 2 4" xfId="501" xr:uid="{00000000-0005-0000-0000-00006C030000}"/>
    <cellStyle name="Standard 3 5 2 5" xfId="768" xr:uid="{00000000-0005-0000-0000-00006D030000}"/>
    <cellStyle name="Standard 3 5 2 6" xfId="1012" xr:uid="{00000000-0005-0000-0000-00006E030000}"/>
    <cellStyle name="Standard 3 5 3" xfId="217" xr:uid="{00000000-0005-0000-0000-00006F030000}"/>
    <cellStyle name="Standard 3 5 3 2" xfId="339" xr:uid="{00000000-0005-0000-0000-000070030000}"/>
    <cellStyle name="Standard 3 5 3 2 2" xfId="581" xr:uid="{00000000-0005-0000-0000-000071030000}"/>
    <cellStyle name="Standard 3 5 3 2 3" xfId="848" xr:uid="{00000000-0005-0000-0000-000072030000}"/>
    <cellStyle name="Standard 3 5 3 2 4" xfId="1092" xr:uid="{00000000-0005-0000-0000-000073030000}"/>
    <cellStyle name="Standard 3 5 3 3" xfId="460" xr:uid="{00000000-0005-0000-0000-000074030000}"/>
    <cellStyle name="Standard 3 5 3 4" xfId="727" xr:uid="{00000000-0005-0000-0000-000075030000}"/>
    <cellStyle name="Standard 3 5 3 5" xfId="971" xr:uid="{00000000-0005-0000-0000-000076030000}"/>
    <cellStyle name="Standard 3 5 4" xfId="299" xr:uid="{00000000-0005-0000-0000-000077030000}"/>
    <cellStyle name="Standard 3 5 4 2" xfId="541" xr:uid="{00000000-0005-0000-0000-000078030000}"/>
    <cellStyle name="Standard 3 5 4 3" xfId="808" xr:uid="{00000000-0005-0000-0000-000079030000}"/>
    <cellStyle name="Standard 3 5 4 4" xfId="1052" xr:uid="{00000000-0005-0000-0000-00007A030000}"/>
    <cellStyle name="Standard 3 5 5" xfId="420" xr:uid="{00000000-0005-0000-0000-00007B030000}"/>
    <cellStyle name="Standard 3 5 6" xfId="679" xr:uid="{00000000-0005-0000-0000-00007C030000}"/>
    <cellStyle name="Standard 3 5 7" xfId="931" xr:uid="{00000000-0005-0000-0000-00007D030000}"/>
    <cellStyle name="Standard 3 6" xfId="121" xr:uid="{00000000-0005-0000-0000-00007E030000}"/>
    <cellStyle name="Standard 3 6 2" xfId="179" xr:uid="{00000000-0005-0000-0000-00007F030000}"/>
    <cellStyle name="Standard 3 6 2 2" xfId="260" xr:uid="{00000000-0005-0000-0000-000080030000}"/>
    <cellStyle name="Standard 3 6 2 2 2" xfId="623" xr:uid="{00000000-0005-0000-0000-000081030000}"/>
    <cellStyle name="Standard 3 6 2 2 3" xfId="890" xr:uid="{00000000-0005-0000-0000-000082030000}"/>
    <cellStyle name="Standard 3 6 2 2 4" xfId="1134" xr:uid="{00000000-0005-0000-0000-000083030000}"/>
    <cellStyle name="Standard 3 6 2 3" xfId="381" xr:uid="{00000000-0005-0000-0000-000084030000}"/>
    <cellStyle name="Standard 3 6 2 4" xfId="502" xr:uid="{00000000-0005-0000-0000-000085030000}"/>
    <cellStyle name="Standard 3 6 2 5" xfId="769" xr:uid="{00000000-0005-0000-0000-000086030000}"/>
    <cellStyle name="Standard 3 6 2 6" xfId="1013" xr:uid="{00000000-0005-0000-0000-000087030000}"/>
    <cellStyle name="Standard 3 6 3" xfId="218" xr:uid="{00000000-0005-0000-0000-000088030000}"/>
    <cellStyle name="Standard 3 6 3 2" xfId="340" xr:uid="{00000000-0005-0000-0000-000089030000}"/>
    <cellStyle name="Standard 3 6 3 2 2" xfId="582" xr:uid="{00000000-0005-0000-0000-00008A030000}"/>
    <cellStyle name="Standard 3 6 3 2 3" xfId="849" xr:uid="{00000000-0005-0000-0000-00008B030000}"/>
    <cellStyle name="Standard 3 6 3 2 4" xfId="1093" xr:uid="{00000000-0005-0000-0000-00008C030000}"/>
    <cellStyle name="Standard 3 6 3 3" xfId="461" xr:uid="{00000000-0005-0000-0000-00008D030000}"/>
    <cellStyle name="Standard 3 6 3 4" xfId="728" xr:uid="{00000000-0005-0000-0000-00008E030000}"/>
    <cellStyle name="Standard 3 6 3 5" xfId="972" xr:uid="{00000000-0005-0000-0000-00008F030000}"/>
    <cellStyle name="Standard 3 6 4" xfId="300" xr:uid="{00000000-0005-0000-0000-000090030000}"/>
    <cellStyle name="Standard 3 6 4 2" xfId="542" xr:uid="{00000000-0005-0000-0000-000091030000}"/>
    <cellStyle name="Standard 3 6 4 3" xfId="809" xr:uid="{00000000-0005-0000-0000-000092030000}"/>
    <cellStyle name="Standard 3 6 4 4" xfId="1053" xr:uid="{00000000-0005-0000-0000-000093030000}"/>
    <cellStyle name="Standard 3 6 5" xfId="421" xr:uid="{00000000-0005-0000-0000-000094030000}"/>
    <cellStyle name="Standard 3 6 6" xfId="680" xr:uid="{00000000-0005-0000-0000-000095030000}"/>
    <cellStyle name="Standard 3 6 7" xfId="932" xr:uid="{00000000-0005-0000-0000-000096030000}"/>
    <cellStyle name="Standard 3 7" xfId="166" xr:uid="{00000000-0005-0000-0000-000097030000}"/>
    <cellStyle name="Standard 3 7 2" xfId="247" xr:uid="{00000000-0005-0000-0000-000098030000}"/>
    <cellStyle name="Standard 3 7 2 2" xfId="610" xr:uid="{00000000-0005-0000-0000-000099030000}"/>
    <cellStyle name="Standard 3 7 2 3" xfId="877" xr:uid="{00000000-0005-0000-0000-00009A030000}"/>
    <cellStyle name="Standard 3 7 2 4" xfId="1121" xr:uid="{00000000-0005-0000-0000-00009B030000}"/>
    <cellStyle name="Standard 3 7 3" xfId="368" xr:uid="{00000000-0005-0000-0000-00009C030000}"/>
    <cellStyle name="Standard 3 7 4" xfId="489" xr:uid="{00000000-0005-0000-0000-00009D030000}"/>
    <cellStyle name="Standard 3 7 5" xfId="756" xr:uid="{00000000-0005-0000-0000-00009E030000}"/>
    <cellStyle name="Standard 3 7 6" xfId="1000" xr:uid="{00000000-0005-0000-0000-00009F030000}"/>
    <cellStyle name="Standard 3 8" xfId="219" xr:uid="{00000000-0005-0000-0000-0000A0030000}"/>
    <cellStyle name="Standard 3 8 2" xfId="327" xr:uid="{00000000-0005-0000-0000-0000A1030000}"/>
    <cellStyle name="Standard 3 8 2 2" xfId="569" xr:uid="{00000000-0005-0000-0000-0000A2030000}"/>
    <cellStyle name="Standard 3 8 2 3" xfId="836" xr:uid="{00000000-0005-0000-0000-0000A3030000}"/>
    <cellStyle name="Standard 3 8 2 4" xfId="1080" xr:uid="{00000000-0005-0000-0000-0000A4030000}"/>
    <cellStyle name="Standard 3 8 3" xfId="448" xr:uid="{00000000-0005-0000-0000-0000A5030000}"/>
    <cellStyle name="Standard 3 8 4" xfId="715" xr:uid="{00000000-0005-0000-0000-0000A6030000}"/>
    <cellStyle name="Standard 3 8 5" xfId="959" xr:uid="{00000000-0005-0000-0000-0000A7030000}"/>
    <cellStyle name="Standard 3 9" xfId="287" xr:uid="{00000000-0005-0000-0000-0000A8030000}"/>
    <cellStyle name="Standard 3 9 2" xfId="529" xr:uid="{00000000-0005-0000-0000-0000A9030000}"/>
    <cellStyle name="Standard 3 9 3" xfId="796" xr:uid="{00000000-0005-0000-0000-0000AA030000}"/>
    <cellStyle name="Standard 3 9 4" xfId="1040" xr:uid="{00000000-0005-0000-0000-0000AB030000}"/>
    <cellStyle name="Standard 3 9 5" xfId="1150" xr:uid="{00000000-0005-0000-0000-0000AC030000}"/>
    <cellStyle name="Standard 4" xfId="122" xr:uid="{00000000-0005-0000-0000-0000AD030000}"/>
    <cellStyle name="Standard 4 10" xfId="681" xr:uid="{00000000-0005-0000-0000-0000AE030000}"/>
    <cellStyle name="Standard 4 11" xfId="933" xr:uid="{00000000-0005-0000-0000-0000AF030000}"/>
    <cellStyle name="Standard 4 2" xfId="123" xr:uid="{00000000-0005-0000-0000-0000B0030000}"/>
    <cellStyle name="Standard 4 2 2" xfId="124" xr:uid="{00000000-0005-0000-0000-0000B1030000}"/>
    <cellStyle name="Standard 4 2 2 2" xfId="182" xr:uid="{00000000-0005-0000-0000-0000B2030000}"/>
    <cellStyle name="Standard 4 2 2 2 2" xfId="263" xr:uid="{00000000-0005-0000-0000-0000B3030000}"/>
    <cellStyle name="Standard 4 2 2 2 2 2" xfId="626" xr:uid="{00000000-0005-0000-0000-0000B4030000}"/>
    <cellStyle name="Standard 4 2 2 2 2 3" xfId="893" xr:uid="{00000000-0005-0000-0000-0000B5030000}"/>
    <cellStyle name="Standard 4 2 2 2 2 4" xfId="1137" xr:uid="{00000000-0005-0000-0000-0000B6030000}"/>
    <cellStyle name="Standard 4 2 2 2 3" xfId="384" xr:uid="{00000000-0005-0000-0000-0000B7030000}"/>
    <cellStyle name="Standard 4 2 2 2 4" xfId="505" xr:uid="{00000000-0005-0000-0000-0000B8030000}"/>
    <cellStyle name="Standard 4 2 2 2 5" xfId="772" xr:uid="{00000000-0005-0000-0000-0000B9030000}"/>
    <cellStyle name="Standard 4 2 2 2 6" xfId="1016" xr:uid="{00000000-0005-0000-0000-0000BA030000}"/>
    <cellStyle name="Standard 4 2 2 3" xfId="220" xr:uid="{00000000-0005-0000-0000-0000BB030000}"/>
    <cellStyle name="Standard 4 2 2 3 2" xfId="343" xr:uid="{00000000-0005-0000-0000-0000BC030000}"/>
    <cellStyle name="Standard 4 2 2 3 2 2" xfId="585" xr:uid="{00000000-0005-0000-0000-0000BD030000}"/>
    <cellStyle name="Standard 4 2 2 3 2 3" xfId="852" xr:uid="{00000000-0005-0000-0000-0000BE030000}"/>
    <cellStyle name="Standard 4 2 2 3 2 4" xfId="1096" xr:uid="{00000000-0005-0000-0000-0000BF030000}"/>
    <cellStyle name="Standard 4 2 2 3 3" xfId="464" xr:uid="{00000000-0005-0000-0000-0000C0030000}"/>
    <cellStyle name="Standard 4 2 2 3 4" xfId="731" xr:uid="{00000000-0005-0000-0000-0000C1030000}"/>
    <cellStyle name="Standard 4 2 2 3 5" xfId="975" xr:uid="{00000000-0005-0000-0000-0000C2030000}"/>
    <cellStyle name="Standard 4 2 2 4" xfId="303" xr:uid="{00000000-0005-0000-0000-0000C3030000}"/>
    <cellStyle name="Standard 4 2 2 4 2" xfId="545" xr:uid="{00000000-0005-0000-0000-0000C4030000}"/>
    <cellStyle name="Standard 4 2 2 4 3" xfId="812" xr:uid="{00000000-0005-0000-0000-0000C5030000}"/>
    <cellStyle name="Standard 4 2 2 4 4" xfId="1056" xr:uid="{00000000-0005-0000-0000-0000C6030000}"/>
    <cellStyle name="Standard 4 2 2 5" xfId="424" xr:uid="{00000000-0005-0000-0000-0000C7030000}"/>
    <cellStyle name="Standard 4 2 2 6" xfId="683" xr:uid="{00000000-0005-0000-0000-0000C8030000}"/>
    <cellStyle name="Standard 4 2 2 7" xfId="935" xr:uid="{00000000-0005-0000-0000-0000C9030000}"/>
    <cellStyle name="Standard 4 2 3" xfId="181" xr:uid="{00000000-0005-0000-0000-0000CA030000}"/>
    <cellStyle name="Standard 4 2 3 2" xfId="262" xr:uid="{00000000-0005-0000-0000-0000CB030000}"/>
    <cellStyle name="Standard 4 2 3 2 2" xfId="625" xr:uid="{00000000-0005-0000-0000-0000CC030000}"/>
    <cellStyle name="Standard 4 2 3 2 3" xfId="892" xr:uid="{00000000-0005-0000-0000-0000CD030000}"/>
    <cellStyle name="Standard 4 2 3 2 4" xfId="1136" xr:uid="{00000000-0005-0000-0000-0000CE030000}"/>
    <cellStyle name="Standard 4 2 3 3" xfId="383" xr:uid="{00000000-0005-0000-0000-0000CF030000}"/>
    <cellStyle name="Standard 4 2 3 4" xfId="504" xr:uid="{00000000-0005-0000-0000-0000D0030000}"/>
    <cellStyle name="Standard 4 2 3 5" xfId="771" xr:uid="{00000000-0005-0000-0000-0000D1030000}"/>
    <cellStyle name="Standard 4 2 3 6" xfId="1015" xr:uid="{00000000-0005-0000-0000-0000D2030000}"/>
    <cellStyle name="Standard 4 2 4" xfId="221" xr:uid="{00000000-0005-0000-0000-0000D3030000}"/>
    <cellStyle name="Standard 4 2 4 2" xfId="342" xr:uid="{00000000-0005-0000-0000-0000D4030000}"/>
    <cellStyle name="Standard 4 2 4 2 2" xfId="584" xr:uid="{00000000-0005-0000-0000-0000D5030000}"/>
    <cellStyle name="Standard 4 2 4 2 3" xfId="851" xr:uid="{00000000-0005-0000-0000-0000D6030000}"/>
    <cellStyle name="Standard 4 2 4 2 4" xfId="1095" xr:uid="{00000000-0005-0000-0000-0000D7030000}"/>
    <cellStyle name="Standard 4 2 4 3" xfId="463" xr:uid="{00000000-0005-0000-0000-0000D8030000}"/>
    <cellStyle name="Standard 4 2 4 4" xfId="730" xr:uid="{00000000-0005-0000-0000-0000D9030000}"/>
    <cellStyle name="Standard 4 2 4 5" xfId="974" xr:uid="{00000000-0005-0000-0000-0000DA030000}"/>
    <cellStyle name="Standard 4 2 5" xfId="302" xr:uid="{00000000-0005-0000-0000-0000DB030000}"/>
    <cellStyle name="Standard 4 2 5 2" xfId="544" xr:uid="{00000000-0005-0000-0000-0000DC030000}"/>
    <cellStyle name="Standard 4 2 5 3" xfId="811" xr:uid="{00000000-0005-0000-0000-0000DD030000}"/>
    <cellStyle name="Standard 4 2 5 4" xfId="1055" xr:uid="{00000000-0005-0000-0000-0000DE030000}"/>
    <cellStyle name="Standard 4 2 6" xfId="423" xr:uid="{00000000-0005-0000-0000-0000DF030000}"/>
    <cellStyle name="Standard 4 2 7" xfId="682" xr:uid="{00000000-0005-0000-0000-0000E0030000}"/>
    <cellStyle name="Standard 4 2 8" xfId="934" xr:uid="{00000000-0005-0000-0000-0000E1030000}"/>
    <cellStyle name="Standard 4 3" xfId="125" xr:uid="{00000000-0005-0000-0000-0000E2030000}"/>
    <cellStyle name="Standard 4 3 2" xfId="126" xr:uid="{00000000-0005-0000-0000-0000E3030000}"/>
    <cellStyle name="Standard 4 3 2 2" xfId="184" xr:uid="{00000000-0005-0000-0000-0000E4030000}"/>
    <cellStyle name="Standard 4 3 2 2 2" xfId="265" xr:uid="{00000000-0005-0000-0000-0000E5030000}"/>
    <cellStyle name="Standard 4 3 2 2 2 2" xfId="628" xr:uid="{00000000-0005-0000-0000-0000E6030000}"/>
    <cellStyle name="Standard 4 3 2 2 2 3" xfId="895" xr:uid="{00000000-0005-0000-0000-0000E7030000}"/>
    <cellStyle name="Standard 4 3 2 2 2 4" xfId="1139" xr:uid="{00000000-0005-0000-0000-0000E8030000}"/>
    <cellStyle name="Standard 4 3 2 2 3" xfId="386" xr:uid="{00000000-0005-0000-0000-0000E9030000}"/>
    <cellStyle name="Standard 4 3 2 2 4" xfId="507" xr:uid="{00000000-0005-0000-0000-0000EA030000}"/>
    <cellStyle name="Standard 4 3 2 2 5" xfId="774" xr:uid="{00000000-0005-0000-0000-0000EB030000}"/>
    <cellStyle name="Standard 4 3 2 2 6" xfId="1018" xr:uid="{00000000-0005-0000-0000-0000EC030000}"/>
    <cellStyle name="Standard 4 3 2 3" xfId="222" xr:uid="{00000000-0005-0000-0000-0000ED030000}"/>
    <cellStyle name="Standard 4 3 2 3 2" xfId="345" xr:uid="{00000000-0005-0000-0000-0000EE030000}"/>
    <cellStyle name="Standard 4 3 2 3 2 2" xfId="587" xr:uid="{00000000-0005-0000-0000-0000EF030000}"/>
    <cellStyle name="Standard 4 3 2 3 2 3" xfId="854" xr:uid="{00000000-0005-0000-0000-0000F0030000}"/>
    <cellStyle name="Standard 4 3 2 3 2 4" xfId="1098" xr:uid="{00000000-0005-0000-0000-0000F1030000}"/>
    <cellStyle name="Standard 4 3 2 3 3" xfId="466" xr:uid="{00000000-0005-0000-0000-0000F2030000}"/>
    <cellStyle name="Standard 4 3 2 3 4" xfId="733" xr:uid="{00000000-0005-0000-0000-0000F3030000}"/>
    <cellStyle name="Standard 4 3 2 3 5" xfId="977" xr:uid="{00000000-0005-0000-0000-0000F4030000}"/>
    <cellStyle name="Standard 4 3 2 4" xfId="305" xr:uid="{00000000-0005-0000-0000-0000F5030000}"/>
    <cellStyle name="Standard 4 3 2 4 2" xfId="547" xr:uid="{00000000-0005-0000-0000-0000F6030000}"/>
    <cellStyle name="Standard 4 3 2 4 3" xfId="814" xr:uid="{00000000-0005-0000-0000-0000F7030000}"/>
    <cellStyle name="Standard 4 3 2 4 4" xfId="1058" xr:uid="{00000000-0005-0000-0000-0000F8030000}"/>
    <cellStyle name="Standard 4 3 2 5" xfId="426" xr:uid="{00000000-0005-0000-0000-0000F9030000}"/>
    <cellStyle name="Standard 4 3 2 6" xfId="685" xr:uid="{00000000-0005-0000-0000-0000FA030000}"/>
    <cellStyle name="Standard 4 3 2 7" xfId="937" xr:uid="{00000000-0005-0000-0000-0000FB030000}"/>
    <cellStyle name="Standard 4 3 3" xfId="183" xr:uid="{00000000-0005-0000-0000-0000FC030000}"/>
    <cellStyle name="Standard 4 3 3 2" xfId="264" xr:uid="{00000000-0005-0000-0000-0000FD030000}"/>
    <cellStyle name="Standard 4 3 3 2 2" xfId="627" xr:uid="{00000000-0005-0000-0000-0000FE030000}"/>
    <cellStyle name="Standard 4 3 3 2 3" xfId="894" xr:uid="{00000000-0005-0000-0000-0000FF030000}"/>
    <cellStyle name="Standard 4 3 3 2 4" xfId="1138" xr:uid="{00000000-0005-0000-0000-000000040000}"/>
    <cellStyle name="Standard 4 3 3 3" xfId="385" xr:uid="{00000000-0005-0000-0000-000001040000}"/>
    <cellStyle name="Standard 4 3 3 4" xfId="506" xr:uid="{00000000-0005-0000-0000-000002040000}"/>
    <cellStyle name="Standard 4 3 3 5" xfId="773" xr:uid="{00000000-0005-0000-0000-000003040000}"/>
    <cellStyle name="Standard 4 3 3 6" xfId="1017" xr:uid="{00000000-0005-0000-0000-000004040000}"/>
    <cellStyle name="Standard 4 3 4" xfId="223" xr:uid="{00000000-0005-0000-0000-000005040000}"/>
    <cellStyle name="Standard 4 3 4 2" xfId="344" xr:uid="{00000000-0005-0000-0000-000006040000}"/>
    <cellStyle name="Standard 4 3 4 2 2" xfId="586" xr:uid="{00000000-0005-0000-0000-000007040000}"/>
    <cellStyle name="Standard 4 3 4 2 3" xfId="853" xr:uid="{00000000-0005-0000-0000-000008040000}"/>
    <cellStyle name="Standard 4 3 4 2 4" xfId="1097" xr:uid="{00000000-0005-0000-0000-000009040000}"/>
    <cellStyle name="Standard 4 3 4 3" xfId="465" xr:uid="{00000000-0005-0000-0000-00000A040000}"/>
    <cellStyle name="Standard 4 3 4 4" xfId="732" xr:uid="{00000000-0005-0000-0000-00000B040000}"/>
    <cellStyle name="Standard 4 3 4 5" xfId="976" xr:uid="{00000000-0005-0000-0000-00000C040000}"/>
    <cellStyle name="Standard 4 3 5" xfId="304" xr:uid="{00000000-0005-0000-0000-00000D040000}"/>
    <cellStyle name="Standard 4 3 5 2" xfId="546" xr:uid="{00000000-0005-0000-0000-00000E040000}"/>
    <cellStyle name="Standard 4 3 5 3" xfId="813" xr:uid="{00000000-0005-0000-0000-00000F040000}"/>
    <cellStyle name="Standard 4 3 5 4" xfId="1057" xr:uid="{00000000-0005-0000-0000-000010040000}"/>
    <cellStyle name="Standard 4 3 6" xfId="425" xr:uid="{00000000-0005-0000-0000-000011040000}"/>
    <cellStyle name="Standard 4 3 7" xfId="684" xr:uid="{00000000-0005-0000-0000-000012040000}"/>
    <cellStyle name="Standard 4 3 8" xfId="936" xr:uid="{00000000-0005-0000-0000-000013040000}"/>
    <cellStyle name="Standard 4 4" xfId="127" xr:uid="{00000000-0005-0000-0000-000014040000}"/>
    <cellStyle name="Standard 4 4 2" xfId="185" xr:uid="{00000000-0005-0000-0000-000015040000}"/>
    <cellStyle name="Standard 4 4 2 2" xfId="266" xr:uid="{00000000-0005-0000-0000-000016040000}"/>
    <cellStyle name="Standard 4 4 2 2 2" xfId="629" xr:uid="{00000000-0005-0000-0000-000017040000}"/>
    <cellStyle name="Standard 4 4 2 2 3" xfId="896" xr:uid="{00000000-0005-0000-0000-000018040000}"/>
    <cellStyle name="Standard 4 4 2 2 4" xfId="1140" xr:uid="{00000000-0005-0000-0000-000019040000}"/>
    <cellStyle name="Standard 4 4 2 3" xfId="387" xr:uid="{00000000-0005-0000-0000-00001A040000}"/>
    <cellStyle name="Standard 4 4 2 4" xfId="508" xr:uid="{00000000-0005-0000-0000-00001B040000}"/>
    <cellStyle name="Standard 4 4 2 5" xfId="775" xr:uid="{00000000-0005-0000-0000-00001C040000}"/>
    <cellStyle name="Standard 4 4 2 6" xfId="1019" xr:uid="{00000000-0005-0000-0000-00001D040000}"/>
    <cellStyle name="Standard 4 4 3" xfId="224" xr:uid="{00000000-0005-0000-0000-00001E040000}"/>
    <cellStyle name="Standard 4 4 3 2" xfId="346" xr:uid="{00000000-0005-0000-0000-00001F040000}"/>
    <cellStyle name="Standard 4 4 3 2 2" xfId="588" xr:uid="{00000000-0005-0000-0000-000020040000}"/>
    <cellStyle name="Standard 4 4 3 2 3" xfId="855" xr:uid="{00000000-0005-0000-0000-000021040000}"/>
    <cellStyle name="Standard 4 4 3 2 4" xfId="1099" xr:uid="{00000000-0005-0000-0000-000022040000}"/>
    <cellStyle name="Standard 4 4 3 3" xfId="467" xr:uid="{00000000-0005-0000-0000-000023040000}"/>
    <cellStyle name="Standard 4 4 3 4" xfId="734" xr:uid="{00000000-0005-0000-0000-000024040000}"/>
    <cellStyle name="Standard 4 4 3 5" xfId="978" xr:uid="{00000000-0005-0000-0000-000025040000}"/>
    <cellStyle name="Standard 4 4 4" xfId="306" xr:uid="{00000000-0005-0000-0000-000026040000}"/>
    <cellStyle name="Standard 4 4 4 2" xfId="548" xr:uid="{00000000-0005-0000-0000-000027040000}"/>
    <cellStyle name="Standard 4 4 4 3" xfId="815" xr:uid="{00000000-0005-0000-0000-000028040000}"/>
    <cellStyle name="Standard 4 4 4 4" xfId="1059" xr:uid="{00000000-0005-0000-0000-000029040000}"/>
    <cellStyle name="Standard 4 4 5" xfId="427" xr:uid="{00000000-0005-0000-0000-00002A040000}"/>
    <cellStyle name="Standard 4 4 6" xfId="686" xr:uid="{00000000-0005-0000-0000-00002B040000}"/>
    <cellStyle name="Standard 4 4 7" xfId="938" xr:uid="{00000000-0005-0000-0000-00002C040000}"/>
    <cellStyle name="Standard 4 5" xfId="128" xr:uid="{00000000-0005-0000-0000-00002D040000}"/>
    <cellStyle name="Standard 4 5 2" xfId="186" xr:uid="{00000000-0005-0000-0000-00002E040000}"/>
    <cellStyle name="Standard 4 5 2 2" xfId="267" xr:uid="{00000000-0005-0000-0000-00002F040000}"/>
    <cellStyle name="Standard 4 5 2 2 2" xfId="630" xr:uid="{00000000-0005-0000-0000-000030040000}"/>
    <cellStyle name="Standard 4 5 2 2 3" xfId="897" xr:uid="{00000000-0005-0000-0000-000031040000}"/>
    <cellStyle name="Standard 4 5 2 2 4" xfId="1141" xr:uid="{00000000-0005-0000-0000-000032040000}"/>
    <cellStyle name="Standard 4 5 2 3" xfId="388" xr:uid="{00000000-0005-0000-0000-000033040000}"/>
    <cellStyle name="Standard 4 5 2 4" xfId="509" xr:uid="{00000000-0005-0000-0000-000034040000}"/>
    <cellStyle name="Standard 4 5 2 5" xfId="776" xr:uid="{00000000-0005-0000-0000-000035040000}"/>
    <cellStyle name="Standard 4 5 2 6" xfId="1020" xr:uid="{00000000-0005-0000-0000-000036040000}"/>
    <cellStyle name="Standard 4 5 3" xfId="225" xr:uid="{00000000-0005-0000-0000-000037040000}"/>
    <cellStyle name="Standard 4 5 3 2" xfId="347" xr:uid="{00000000-0005-0000-0000-000038040000}"/>
    <cellStyle name="Standard 4 5 3 2 2" xfId="589" xr:uid="{00000000-0005-0000-0000-000039040000}"/>
    <cellStyle name="Standard 4 5 3 2 3" xfId="856" xr:uid="{00000000-0005-0000-0000-00003A040000}"/>
    <cellStyle name="Standard 4 5 3 2 4" xfId="1100" xr:uid="{00000000-0005-0000-0000-00003B040000}"/>
    <cellStyle name="Standard 4 5 3 3" xfId="468" xr:uid="{00000000-0005-0000-0000-00003C040000}"/>
    <cellStyle name="Standard 4 5 3 4" xfId="735" xr:uid="{00000000-0005-0000-0000-00003D040000}"/>
    <cellStyle name="Standard 4 5 3 5" xfId="979" xr:uid="{00000000-0005-0000-0000-00003E040000}"/>
    <cellStyle name="Standard 4 5 4" xfId="307" xr:uid="{00000000-0005-0000-0000-00003F040000}"/>
    <cellStyle name="Standard 4 5 4 2" xfId="549" xr:uid="{00000000-0005-0000-0000-000040040000}"/>
    <cellStyle name="Standard 4 5 4 3" xfId="816" xr:uid="{00000000-0005-0000-0000-000041040000}"/>
    <cellStyle name="Standard 4 5 4 4" xfId="1060" xr:uid="{00000000-0005-0000-0000-000042040000}"/>
    <cellStyle name="Standard 4 5 5" xfId="428" xr:uid="{00000000-0005-0000-0000-000043040000}"/>
    <cellStyle name="Standard 4 5 6" xfId="687" xr:uid="{00000000-0005-0000-0000-000044040000}"/>
    <cellStyle name="Standard 4 5 7" xfId="939" xr:uid="{00000000-0005-0000-0000-000045040000}"/>
    <cellStyle name="Standard 4 6" xfId="180" xr:uid="{00000000-0005-0000-0000-000046040000}"/>
    <cellStyle name="Standard 4 6 2" xfId="261" xr:uid="{00000000-0005-0000-0000-000047040000}"/>
    <cellStyle name="Standard 4 6 2 2" xfId="624" xr:uid="{00000000-0005-0000-0000-000048040000}"/>
    <cellStyle name="Standard 4 6 2 3" xfId="891" xr:uid="{00000000-0005-0000-0000-000049040000}"/>
    <cellStyle name="Standard 4 6 2 4" xfId="1135" xr:uid="{00000000-0005-0000-0000-00004A040000}"/>
    <cellStyle name="Standard 4 6 3" xfId="382" xr:uid="{00000000-0005-0000-0000-00004B040000}"/>
    <cellStyle name="Standard 4 6 4" xfId="503" xr:uid="{00000000-0005-0000-0000-00004C040000}"/>
    <cellStyle name="Standard 4 6 5" xfId="770" xr:uid="{00000000-0005-0000-0000-00004D040000}"/>
    <cellStyle name="Standard 4 6 6" xfId="1014" xr:uid="{00000000-0005-0000-0000-00004E040000}"/>
    <cellStyle name="Standard 4 7" xfId="226" xr:uid="{00000000-0005-0000-0000-00004F040000}"/>
    <cellStyle name="Standard 4 7 2" xfId="341" xr:uid="{00000000-0005-0000-0000-000050040000}"/>
    <cellStyle name="Standard 4 7 2 2" xfId="583" xr:uid="{00000000-0005-0000-0000-000051040000}"/>
    <cellStyle name="Standard 4 7 2 3" xfId="850" xr:uid="{00000000-0005-0000-0000-000052040000}"/>
    <cellStyle name="Standard 4 7 2 4" xfId="1094" xr:uid="{00000000-0005-0000-0000-000053040000}"/>
    <cellStyle name="Standard 4 7 3" xfId="462" xr:uid="{00000000-0005-0000-0000-000054040000}"/>
    <cellStyle name="Standard 4 7 4" xfId="729" xr:uid="{00000000-0005-0000-0000-000055040000}"/>
    <cellStyle name="Standard 4 7 5" xfId="973" xr:uid="{00000000-0005-0000-0000-000056040000}"/>
    <cellStyle name="Standard 4 8" xfId="301" xr:uid="{00000000-0005-0000-0000-000057040000}"/>
    <cellStyle name="Standard 4 8 2" xfId="543" xr:uid="{00000000-0005-0000-0000-000058040000}"/>
    <cellStyle name="Standard 4 8 3" xfId="810" xr:uid="{00000000-0005-0000-0000-000059040000}"/>
    <cellStyle name="Standard 4 8 4" xfId="1054" xr:uid="{00000000-0005-0000-0000-00005A040000}"/>
    <cellStyle name="Standard 4 9" xfId="422" xr:uid="{00000000-0005-0000-0000-00005B040000}"/>
    <cellStyle name="Standard 5" xfId="145" xr:uid="{00000000-0005-0000-0000-00005C040000}"/>
    <cellStyle name="Standard 5 2" xfId="227" xr:uid="{00000000-0005-0000-0000-00005D040000}"/>
    <cellStyle name="Standard 5 2 2" xfId="590" xr:uid="{00000000-0005-0000-0000-00005E040000}"/>
    <cellStyle name="Standard 5 2 3" xfId="857" xr:uid="{00000000-0005-0000-0000-00005F040000}"/>
    <cellStyle name="Standard 5 2 4" xfId="1101" xr:uid="{00000000-0005-0000-0000-000060040000}"/>
    <cellStyle name="Standard 5 3" xfId="348" xr:uid="{00000000-0005-0000-0000-000061040000}"/>
    <cellStyle name="Standard 5 4" xfId="469" xr:uid="{00000000-0005-0000-0000-000062040000}"/>
    <cellStyle name="Standard 5 5" xfId="736" xr:uid="{00000000-0005-0000-0000-000063040000}"/>
    <cellStyle name="Standard 5 6" xfId="980" xr:uid="{00000000-0005-0000-0000-000064040000}"/>
    <cellStyle name="Standard 6" xfId="632" xr:uid="{00000000-0005-0000-0000-000065040000}"/>
    <cellStyle name="Standard 6 2" xfId="1144" xr:uid="{00000000-0005-0000-0000-000066040000}"/>
    <cellStyle name="Standard 7" xfId="631" xr:uid="{00000000-0005-0000-0000-000067040000}"/>
    <cellStyle name="Überschrift" xfId="129" xr:uid="{00000000-0005-0000-0000-000068040000}"/>
    <cellStyle name="Überschrift 1" xfId="130" xr:uid="{00000000-0005-0000-0000-000069040000}"/>
    <cellStyle name="Überschrift 1 2" xfId="131" xr:uid="{00000000-0005-0000-0000-00006A040000}"/>
    <cellStyle name="Überschrift 1 3" xfId="689" xr:uid="{00000000-0005-0000-0000-00006B040000}"/>
    <cellStyle name="Überschrift 2" xfId="132" xr:uid="{00000000-0005-0000-0000-00006C040000}"/>
    <cellStyle name="Überschrift 2 2" xfId="133" xr:uid="{00000000-0005-0000-0000-00006D040000}"/>
    <cellStyle name="Überschrift 2 3" xfId="690" xr:uid="{00000000-0005-0000-0000-00006E040000}"/>
    <cellStyle name="Überschrift 3" xfId="134" xr:uid="{00000000-0005-0000-0000-00006F040000}"/>
    <cellStyle name="Überschrift 3 2" xfId="135" xr:uid="{00000000-0005-0000-0000-000070040000}"/>
    <cellStyle name="Überschrift 3 2 2" xfId="1143" xr:uid="{00000000-0005-0000-0000-000071040000}"/>
    <cellStyle name="Überschrift 3 3" xfId="691" xr:uid="{00000000-0005-0000-0000-000072040000}"/>
    <cellStyle name="Überschrift 3 4" xfId="1142" xr:uid="{00000000-0005-0000-0000-000073040000}"/>
    <cellStyle name="Überschrift 4" xfId="136" xr:uid="{00000000-0005-0000-0000-000074040000}"/>
    <cellStyle name="Überschrift 4 2" xfId="137" xr:uid="{00000000-0005-0000-0000-000075040000}"/>
    <cellStyle name="Überschrift 4 3" xfId="692" xr:uid="{00000000-0005-0000-0000-000076040000}"/>
    <cellStyle name="Überschrift 5" xfId="138" xr:uid="{00000000-0005-0000-0000-000077040000}"/>
    <cellStyle name="Überschrift 6" xfId="688" xr:uid="{00000000-0005-0000-0000-000078040000}"/>
    <cellStyle name="Verknüpfte Zelle" xfId="139" xr:uid="{00000000-0005-0000-0000-000079040000}"/>
    <cellStyle name="Verknüpfte Zelle 2" xfId="140" xr:uid="{00000000-0005-0000-0000-00007A040000}"/>
    <cellStyle name="Verknüpfte Zelle 3" xfId="693" xr:uid="{00000000-0005-0000-0000-00007B040000}"/>
    <cellStyle name="Warnender Text" xfId="141" xr:uid="{00000000-0005-0000-0000-00007C040000}"/>
    <cellStyle name="Warnender Text 2" xfId="142" xr:uid="{00000000-0005-0000-0000-00007D040000}"/>
    <cellStyle name="Warnender Text 3" xfId="694" xr:uid="{00000000-0005-0000-0000-00007E040000}"/>
    <cellStyle name="Zelle überprüfen" xfId="143" xr:uid="{00000000-0005-0000-0000-00007F040000}"/>
    <cellStyle name="Zelle überprüfen 2" xfId="144" xr:uid="{00000000-0005-0000-0000-000080040000}"/>
    <cellStyle name="Zelle überprüfen 3" xfId="695" xr:uid="{00000000-0005-0000-0000-000081040000}"/>
  </cellStyles>
  <dxfs count="47">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Primärenergiebedarf PEB</a:t>
            </a:r>
            <a:r>
              <a:rPr lang="de-DE" sz="1800" b="1" i="0" u="none" strike="noStrike" baseline="-25000">
                <a:effectLst/>
                <a:latin typeface="Arial" panose="020B0604020202020204" pitchFamily="34" charset="0"/>
                <a:cs typeface="Arial" panose="020B0604020202020204" pitchFamily="34" charset="0"/>
              </a:rPr>
              <a:t>SK</a:t>
            </a:r>
            <a:r>
              <a:rPr lang="de-DE" b="1">
                <a:latin typeface="Arial" panose="020B0604020202020204" pitchFamily="34" charset="0"/>
                <a:cs typeface="Arial" panose="020B0604020202020204" pitchFamily="34" charset="0"/>
              </a:rPr>
              <a:t> </a:t>
            </a:r>
            <a:r>
              <a:rPr lang="en-US" sz="1800" b="1" i="0" u="none" strike="noStrike" baseline="0">
                <a:effectLst/>
              </a:rPr>
              <a:t>minderbeheizte Gebäude</a:t>
            </a:r>
            <a:endParaRPr lang="de-DE"/>
          </a:p>
        </c:rich>
      </c:tx>
      <c:overlay val="0"/>
    </c:title>
    <c:autoTitleDeleted val="0"/>
    <c:plotArea>
      <c:layout/>
      <c:lineChart>
        <c:grouping val="standard"/>
        <c:varyColors val="0"/>
        <c:ser>
          <c:idx val="0"/>
          <c:order val="0"/>
          <c:tx>
            <c:strRef>
              <c:f>'B1b Graphik'!$L$92:$M$92</c:f>
              <c:strCache>
                <c:ptCount val="1"/>
                <c:pt idx="0">
                  <c:v>Primärenergiebedarf</c:v>
                </c:pt>
              </c:strCache>
            </c:strRef>
          </c:tx>
          <c:spPr>
            <a:ln>
              <a:solidFill>
                <a:schemeClr val="accent6">
                  <a:lumMod val="75000"/>
                </a:schemeClr>
              </a:solidFill>
            </a:ln>
          </c:spPr>
          <c:marker>
            <c:symbol val="none"/>
          </c:marker>
          <c:cat>
            <c:numRef>
              <c:f>'B1b Graphik'!$L$94:$L$244</c:f>
              <c:numCache>
                <c:formatCode>0</c:formatCode>
                <c:ptCount val="1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numCache>
            </c:numRef>
          </c:cat>
          <c:val>
            <c:numRef>
              <c:f>'B1b Graphik'!$M$94:$M$244</c:f>
              <c:numCache>
                <c:formatCode>0</c:formatCode>
                <c:ptCount val="151"/>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pt idx="20">
                  <c:v>120</c:v>
                </c:pt>
                <c:pt idx="21">
                  <c:v>120</c:v>
                </c:pt>
                <c:pt idx="22">
                  <c:v>120</c:v>
                </c:pt>
                <c:pt idx="23">
                  <c:v>120</c:v>
                </c:pt>
                <c:pt idx="24">
                  <c:v>120</c:v>
                </c:pt>
                <c:pt idx="25">
                  <c:v>120</c:v>
                </c:pt>
                <c:pt idx="26">
                  <c:v>120</c:v>
                </c:pt>
                <c:pt idx="27">
                  <c:v>120</c:v>
                </c:pt>
                <c:pt idx="28">
                  <c:v>120</c:v>
                </c:pt>
                <c:pt idx="29">
                  <c:v>120</c:v>
                </c:pt>
                <c:pt idx="30">
                  <c:v>120</c:v>
                </c:pt>
                <c:pt idx="31">
                  <c:v>120</c:v>
                </c:pt>
                <c:pt idx="32">
                  <c:v>120</c:v>
                </c:pt>
                <c:pt idx="33">
                  <c:v>120</c:v>
                </c:pt>
                <c:pt idx="34">
                  <c:v>120</c:v>
                </c:pt>
                <c:pt idx="35">
                  <c:v>120</c:v>
                </c:pt>
                <c:pt idx="36">
                  <c:v>120</c:v>
                </c:pt>
                <c:pt idx="37">
                  <c:v>120</c:v>
                </c:pt>
                <c:pt idx="38">
                  <c:v>120</c:v>
                </c:pt>
                <c:pt idx="39">
                  <c:v>120</c:v>
                </c:pt>
                <c:pt idx="40">
                  <c:v>120</c:v>
                </c:pt>
                <c:pt idx="41">
                  <c:v>120</c:v>
                </c:pt>
                <c:pt idx="42">
                  <c:v>120</c:v>
                </c:pt>
                <c:pt idx="43">
                  <c:v>120</c:v>
                </c:pt>
                <c:pt idx="44">
                  <c:v>118.26086956521739</c:v>
                </c:pt>
                <c:pt idx="45">
                  <c:v>116.52173913043478</c:v>
                </c:pt>
                <c:pt idx="46">
                  <c:v>114.78260869565217</c:v>
                </c:pt>
                <c:pt idx="47">
                  <c:v>113.04347826086956</c:v>
                </c:pt>
                <c:pt idx="48">
                  <c:v>111.30434782608695</c:v>
                </c:pt>
                <c:pt idx="49">
                  <c:v>109.56521739130434</c:v>
                </c:pt>
                <c:pt idx="50">
                  <c:v>107.82608695652173</c:v>
                </c:pt>
                <c:pt idx="51">
                  <c:v>106.08695652173913</c:v>
                </c:pt>
                <c:pt idx="52">
                  <c:v>104.34782608695652</c:v>
                </c:pt>
                <c:pt idx="53">
                  <c:v>102.60869565217391</c:v>
                </c:pt>
                <c:pt idx="54">
                  <c:v>100.8695652173913</c:v>
                </c:pt>
                <c:pt idx="55">
                  <c:v>99.130434782608688</c:v>
                </c:pt>
                <c:pt idx="56">
                  <c:v>97.391304347826079</c:v>
                </c:pt>
                <c:pt idx="57">
                  <c:v>95.65217391304347</c:v>
                </c:pt>
                <c:pt idx="58">
                  <c:v>93.91304347826086</c:v>
                </c:pt>
                <c:pt idx="59">
                  <c:v>92.173913043478265</c:v>
                </c:pt>
                <c:pt idx="60">
                  <c:v>90.434782608695656</c:v>
                </c:pt>
                <c:pt idx="61">
                  <c:v>88.695652173913047</c:v>
                </c:pt>
                <c:pt idx="62">
                  <c:v>86.956521739130437</c:v>
                </c:pt>
                <c:pt idx="63">
                  <c:v>85.217391304347828</c:v>
                </c:pt>
                <c:pt idx="64">
                  <c:v>83.478260869565219</c:v>
                </c:pt>
                <c:pt idx="65">
                  <c:v>81.739130434782609</c:v>
                </c:pt>
                <c:pt idx="66">
                  <c:v>80</c:v>
                </c:pt>
                <c:pt idx="67">
                  <c:v>78.260869565217391</c:v>
                </c:pt>
                <c:pt idx="68">
                  <c:v>76.521739130434781</c:v>
                </c:pt>
                <c:pt idx="69">
                  <c:v>74.782608695652172</c:v>
                </c:pt>
                <c:pt idx="70">
                  <c:v>73.043478260869563</c:v>
                </c:pt>
                <c:pt idx="71">
                  <c:v>71.304347826086953</c:v>
                </c:pt>
                <c:pt idx="72">
                  <c:v>69.565217391304344</c:v>
                </c:pt>
                <c:pt idx="73">
                  <c:v>67.826086956521735</c:v>
                </c:pt>
                <c:pt idx="74">
                  <c:v>66.086956521739125</c:v>
                </c:pt>
                <c:pt idx="75">
                  <c:v>64.347826086956516</c:v>
                </c:pt>
                <c:pt idx="76">
                  <c:v>62.608695652173914</c:v>
                </c:pt>
                <c:pt idx="77">
                  <c:v>60.869565217391305</c:v>
                </c:pt>
                <c:pt idx="78">
                  <c:v>59.130434782608695</c:v>
                </c:pt>
                <c:pt idx="79">
                  <c:v>57.391304347826086</c:v>
                </c:pt>
                <c:pt idx="80">
                  <c:v>55.652173913043477</c:v>
                </c:pt>
                <c:pt idx="81">
                  <c:v>53.913043478260867</c:v>
                </c:pt>
                <c:pt idx="82">
                  <c:v>52.173913043478258</c:v>
                </c:pt>
                <c:pt idx="83">
                  <c:v>50.434782608695649</c:v>
                </c:pt>
                <c:pt idx="84">
                  <c:v>48.695652173913039</c:v>
                </c:pt>
                <c:pt idx="85">
                  <c:v>46.95652173913043</c:v>
                </c:pt>
                <c:pt idx="86">
                  <c:v>45.217391304347828</c:v>
                </c:pt>
                <c:pt idx="87">
                  <c:v>43.478260869565219</c:v>
                </c:pt>
                <c:pt idx="88">
                  <c:v>41.739130434782609</c:v>
                </c:pt>
                <c:pt idx="89">
                  <c:v>40</c:v>
                </c:pt>
                <c:pt idx="90">
                  <c:v>38.260869565217391</c:v>
                </c:pt>
                <c:pt idx="91">
                  <c:v>36.521739130434781</c:v>
                </c:pt>
                <c:pt idx="92">
                  <c:v>34.782608695652172</c:v>
                </c:pt>
                <c:pt idx="93">
                  <c:v>33.043478260869563</c:v>
                </c:pt>
                <c:pt idx="94">
                  <c:v>31.304347826086957</c:v>
                </c:pt>
                <c:pt idx="95">
                  <c:v>29.565217391304348</c:v>
                </c:pt>
                <c:pt idx="96">
                  <c:v>27.826086956521738</c:v>
                </c:pt>
                <c:pt idx="97">
                  <c:v>26.086956521739129</c:v>
                </c:pt>
                <c:pt idx="98">
                  <c:v>24.34782608695652</c:v>
                </c:pt>
                <c:pt idx="99">
                  <c:v>22.608695652173914</c:v>
                </c:pt>
                <c:pt idx="100">
                  <c:v>20.869565217391305</c:v>
                </c:pt>
                <c:pt idx="101">
                  <c:v>19.130434782608695</c:v>
                </c:pt>
                <c:pt idx="102">
                  <c:v>17.391304347826086</c:v>
                </c:pt>
                <c:pt idx="103">
                  <c:v>15.652173913043478</c:v>
                </c:pt>
                <c:pt idx="104">
                  <c:v>13.913043478260869</c:v>
                </c:pt>
                <c:pt idx="105">
                  <c:v>12.17391304347826</c:v>
                </c:pt>
                <c:pt idx="106">
                  <c:v>10.434782608695652</c:v>
                </c:pt>
                <c:pt idx="107">
                  <c:v>8.695652173913043</c:v>
                </c:pt>
                <c:pt idx="108">
                  <c:v>6.9565217391304346</c:v>
                </c:pt>
                <c:pt idx="109">
                  <c:v>5.2173913043478262</c:v>
                </c:pt>
                <c:pt idx="110">
                  <c:v>3.4782608695652173</c:v>
                </c:pt>
                <c:pt idx="111">
                  <c:v>1.7391304347826086</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numCache>
            </c:numRef>
          </c:val>
          <c:smooth val="0"/>
          <c:extLst>
            <c:ext xmlns:c16="http://schemas.microsoft.com/office/drawing/2014/chart" uri="{C3380CC4-5D6E-409C-BE32-E72D297353CC}">
              <c16:uniqueId val="{00000000-ACB7-4449-A1DF-8F57331F4D8F}"/>
            </c:ext>
          </c:extLst>
        </c:ser>
        <c:dLbls>
          <c:showLegendKey val="0"/>
          <c:showVal val="0"/>
          <c:showCatName val="0"/>
          <c:showSerName val="0"/>
          <c:showPercent val="0"/>
          <c:showBubbleSize val="0"/>
        </c:dLbls>
        <c:smooth val="0"/>
        <c:axId val="103371008"/>
        <c:axId val="103371792"/>
      </c:lineChart>
      <c:catAx>
        <c:axId val="103371008"/>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sz="1200" b="1" i="0" u="none" strike="noStrike" baseline="0">
                    <a:effectLst/>
                    <a:latin typeface="Arial" panose="020B0604020202020204" pitchFamily="34" charset="0"/>
                    <a:cs typeface="Arial" panose="020B0604020202020204" pitchFamily="34" charset="0"/>
                  </a:rPr>
                  <a:t>PEB</a:t>
                </a:r>
                <a:r>
                  <a:rPr lang="de-DE" sz="1200" b="1" i="0" u="none" strike="noStrike" baseline="-25000">
                    <a:effectLst/>
                    <a:latin typeface="Arial" panose="020B0604020202020204" pitchFamily="34" charset="0"/>
                    <a:cs typeface="Arial" panose="020B0604020202020204" pitchFamily="34" charset="0"/>
                  </a:rPr>
                  <a:t>SK</a:t>
                </a:r>
                <a:r>
                  <a:rPr lang="de-DE">
                    <a:latin typeface="Arial"/>
                    <a:cs typeface="Arial"/>
                  </a:rPr>
                  <a:t> in</a:t>
                </a:r>
                <a:r>
                  <a:rPr lang="de-DE" baseline="0">
                    <a:latin typeface="Arial"/>
                    <a:cs typeface="Arial"/>
                  </a:rPr>
                  <a:t> </a:t>
                </a:r>
                <a:r>
                  <a:rPr lang="de-DE">
                    <a:latin typeface="Arial"/>
                    <a:cs typeface="Arial"/>
                  </a:rPr>
                  <a:t>kWh/(m²a)</a:t>
                </a:r>
                <a:endParaRPr lang="de-DE"/>
              </a:p>
            </c:rich>
          </c:tx>
          <c:overlay val="0"/>
        </c:title>
        <c:numFmt formatCode="0" sourceLinked="1"/>
        <c:majorTickMark val="out"/>
        <c:minorTickMark val="none"/>
        <c:tickLblPos val="nextTo"/>
        <c:txPr>
          <a:bodyPr rot="0" vert="horz" anchor="ctr" anchorCtr="0"/>
          <a:lstStyle/>
          <a:p>
            <a:pPr>
              <a:defRPr sz="1000" b="0" i="0" u="none" strike="noStrike">
                <a:solidFill>
                  <a:srgbClr val="000000"/>
                </a:solidFill>
                <a:latin typeface="Calibri"/>
                <a:ea typeface="Calibri"/>
                <a:cs typeface="Calibri"/>
              </a:defRPr>
            </a:pPr>
            <a:endParaRPr lang="de-DE"/>
          </a:p>
        </c:txPr>
        <c:crossAx val="103371792"/>
        <c:crosses val="autoZero"/>
        <c:auto val="0"/>
        <c:lblAlgn val="ctr"/>
        <c:lblOffset val="100"/>
        <c:tickLblSkip val="10"/>
        <c:tickMarkSkip val="5"/>
        <c:noMultiLvlLbl val="0"/>
      </c:catAx>
      <c:valAx>
        <c:axId val="103371792"/>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1008"/>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Emissionen CO</a:t>
            </a:r>
            <a:r>
              <a:rPr lang="de-DE" sz="1800" b="1" i="0" u="none" strike="noStrike" baseline="-25000">
                <a:effectLst/>
                <a:latin typeface="Arial" panose="020B0604020202020204" pitchFamily="34" charset="0"/>
                <a:cs typeface="Arial" panose="020B0604020202020204" pitchFamily="34" charset="0"/>
              </a:rPr>
              <a:t>2</a:t>
            </a:r>
            <a:r>
              <a:rPr lang="de-DE" sz="1800" b="1" i="0" u="none" strike="noStrike" baseline="0">
                <a:effectLst/>
                <a:latin typeface="Arial" panose="020B0604020202020204" pitchFamily="34" charset="0"/>
                <a:cs typeface="Arial" panose="020B0604020202020204" pitchFamily="34" charset="0"/>
              </a:rPr>
              <a:t>-Äquivalente </a:t>
            </a:r>
            <a:r>
              <a:rPr lang="en-US" sz="1800" b="1" i="0" u="none" strike="noStrike" baseline="0">
                <a:effectLst/>
              </a:rPr>
              <a:t>minderbeheizte Gebäude</a:t>
            </a:r>
            <a:endParaRPr lang="de-DE"/>
          </a:p>
        </c:rich>
      </c:tx>
      <c:overlay val="0"/>
    </c:title>
    <c:autoTitleDeleted val="0"/>
    <c:plotArea>
      <c:layout/>
      <c:lineChart>
        <c:grouping val="standard"/>
        <c:varyColors val="0"/>
        <c:ser>
          <c:idx val="0"/>
          <c:order val="0"/>
          <c:tx>
            <c:strRef>
              <c:f>'B1b Graphik'!$O$92:$P$92</c:f>
              <c:strCache>
                <c:ptCount val="1"/>
                <c:pt idx="0">
                  <c:v>CO2-Äquivalente</c:v>
                </c:pt>
              </c:strCache>
            </c:strRef>
          </c:tx>
          <c:spPr>
            <a:prstGeom prst="rect">
              <a:avLst/>
            </a:prstGeom>
            <a:ln w="28575">
              <a:solidFill>
                <a:schemeClr val="tx1"/>
              </a:solidFill>
            </a:ln>
          </c:spPr>
          <c:marker>
            <c:symbol val="none"/>
          </c:marker>
          <c:cat>
            <c:numRef>
              <c:f>'B1b Graphik'!$O$94:$O$124</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'B1b Graphik'!$P$94:$P$124</c:f>
              <c:numCache>
                <c:formatCode>0</c:formatCode>
                <c:ptCount val="31"/>
                <c:pt idx="0">
                  <c:v>135</c:v>
                </c:pt>
                <c:pt idx="1">
                  <c:v>127.5</c:v>
                </c:pt>
                <c:pt idx="2">
                  <c:v>120</c:v>
                </c:pt>
                <c:pt idx="3">
                  <c:v>112.5</c:v>
                </c:pt>
                <c:pt idx="4">
                  <c:v>105</c:v>
                </c:pt>
                <c:pt idx="5">
                  <c:v>97.5</c:v>
                </c:pt>
                <c:pt idx="6">
                  <c:v>90</c:v>
                </c:pt>
                <c:pt idx="7">
                  <c:v>82.5</c:v>
                </c:pt>
                <c:pt idx="8">
                  <c:v>75</c:v>
                </c:pt>
                <c:pt idx="9">
                  <c:v>67.5</c:v>
                </c:pt>
                <c:pt idx="10">
                  <c:v>60</c:v>
                </c:pt>
                <c:pt idx="11">
                  <c:v>52.5</c:v>
                </c:pt>
                <c:pt idx="12">
                  <c:v>45</c:v>
                </c:pt>
                <c:pt idx="13">
                  <c:v>37.5</c:v>
                </c:pt>
                <c:pt idx="14">
                  <c:v>30</c:v>
                </c:pt>
                <c:pt idx="15">
                  <c:v>22.5</c:v>
                </c:pt>
                <c:pt idx="16">
                  <c:v>15</c:v>
                </c:pt>
                <c:pt idx="17">
                  <c:v>7.5</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0-5CD8-492E-8EED-AF010B5C3D7B}"/>
            </c:ext>
          </c:extLst>
        </c:ser>
        <c:dLbls>
          <c:showLegendKey val="0"/>
          <c:showVal val="0"/>
          <c:showCatName val="0"/>
          <c:showSerName val="0"/>
          <c:showPercent val="0"/>
          <c:showBubbleSize val="0"/>
        </c:dLbls>
        <c:smooth val="0"/>
        <c:axId val="103372184"/>
        <c:axId val="103364736"/>
      </c:lineChart>
      <c:catAx>
        <c:axId val="103372184"/>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a:latin typeface="Arial"/>
                    <a:cs typeface="Arial"/>
                  </a:rPr>
                  <a:t>CO</a:t>
                </a:r>
                <a:r>
                  <a:rPr lang="de-DE" baseline="-25000">
                    <a:latin typeface="Arial"/>
                    <a:cs typeface="Arial"/>
                  </a:rPr>
                  <a:t>2</a:t>
                </a:r>
                <a:r>
                  <a:rPr lang="de-DE" baseline="0">
                    <a:latin typeface="Arial"/>
                    <a:cs typeface="Arial"/>
                  </a:rPr>
                  <a:t>-Äquivalente</a:t>
                </a:r>
                <a:r>
                  <a:rPr lang="de-DE">
                    <a:latin typeface="Arial"/>
                    <a:cs typeface="Arial"/>
                  </a:rPr>
                  <a:t> in</a:t>
                </a:r>
                <a:r>
                  <a:rPr lang="de-DE" baseline="0">
                    <a:latin typeface="Arial"/>
                    <a:cs typeface="Arial"/>
                  </a:rPr>
                  <a:t> </a:t>
                </a:r>
                <a:r>
                  <a:rPr lang="de-DE">
                    <a:latin typeface="Arial"/>
                    <a:cs typeface="Arial"/>
                  </a:rPr>
                  <a:t>kg/(m²a)</a:t>
                </a:r>
                <a:endParaRPr lang="de-DE"/>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64736"/>
        <c:crosses val="autoZero"/>
        <c:auto val="1"/>
        <c:lblAlgn val="ctr"/>
        <c:lblOffset val="100"/>
        <c:tickLblSkip val="2"/>
        <c:tickMarkSkip val="2"/>
        <c:noMultiLvlLbl val="0"/>
      </c:catAx>
      <c:valAx>
        <c:axId val="103364736"/>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2184"/>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000000000000004" r="0.7000000000000004" t="0.78740157499999996"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Heizwärmebedarf HWB</a:t>
            </a:r>
            <a:r>
              <a:rPr lang="de-DE" sz="1800" b="1" i="0" u="none" strike="noStrike" baseline="-25000">
                <a:effectLst/>
                <a:latin typeface="Arial" panose="020B0604020202020204" pitchFamily="34" charset="0"/>
                <a:cs typeface="Arial" panose="020B0604020202020204" pitchFamily="34" charset="0"/>
              </a:rPr>
              <a:t>SK</a:t>
            </a:r>
            <a:r>
              <a:rPr lang="de-DE" sz="1800" b="1" i="0" u="none" strike="noStrike" baseline="0">
                <a:latin typeface="Arial" panose="020B0604020202020204" pitchFamily="34" charset="0"/>
                <a:cs typeface="Arial" panose="020B0604020202020204" pitchFamily="34" charset="0"/>
              </a:rPr>
              <a:t> </a:t>
            </a:r>
            <a:r>
              <a:rPr lang="en-US" sz="1800" b="1" i="0" u="none" strike="noStrike" baseline="0">
                <a:latin typeface="Arial"/>
                <a:cs typeface="Arial"/>
              </a:rPr>
              <a:t>minderbeheizte Gebäude</a:t>
            </a:r>
            <a:endParaRPr lang="en-US"/>
          </a:p>
        </c:rich>
      </c:tx>
      <c:overlay val="0"/>
    </c:title>
    <c:autoTitleDeleted val="0"/>
    <c:plotArea>
      <c:layout/>
      <c:lineChart>
        <c:grouping val="standard"/>
        <c:varyColors val="0"/>
        <c:ser>
          <c:idx val="1"/>
          <c:order val="0"/>
          <c:tx>
            <c:strRef>
              <c:f>'B1b Graphik'!$C$92:$D$92</c:f>
              <c:strCache>
                <c:ptCount val="1"/>
                <c:pt idx="0">
                  <c:v>Heizwärmebedarf</c:v>
                </c:pt>
              </c:strCache>
            </c:strRef>
          </c:tx>
          <c:spPr>
            <a:ln w="28575">
              <a:solidFill>
                <a:srgbClr val="C00000"/>
              </a:solidFill>
            </a:ln>
          </c:spPr>
          <c:marker>
            <c:symbol val="none"/>
          </c:marker>
          <c:cat>
            <c:numRef>
              <c:f>'B1b Graphik'!$C$94:$C$159</c:f>
              <c:numCache>
                <c:formatCode>0</c:formatCode>
                <c:ptCount val="6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numCache>
            </c:numRef>
          </c:cat>
          <c:val>
            <c:numRef>
              <c:f>'B1b Graphik'!$D$94:$D$159</c:f>
              <c:numCache>
                <c:formatCode>0</c:formatCode>
                <c:ptCount val="66"/>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pt idx="15">
                  <c:v>40</c:v>
                </c:pt>
                <c:pt idx="16">
                  <c:v>38.918918918918919</c:v>
                </c:pt>
                <c:pt idx="17">
                  <c:v>37.837837837837839</c:v>
                </c:pt>
                <c:pt idx="18">
                  <c:v>36.756756756756758</c:v>
                </c:pt>
                <c:pt idx="19">
                  <c:v>35.675675675675677</c:v>
                </c:pt>
                <c:pt idx="20">
                  <c:v>34.594594594594597</c:v>
                </c:pt>
                <c:pt idx="21">
                  <c:v>33.513513513513516</c:v>
                </c:pt>
                <c:pt idx="22">
                  <c:v>32.432432432432435</c:v>
                </c:pt>
                <c:pt idx="23">
                  <c:v>31.351351351351354</c:v>
                </c:pt>
                <c:pt idx="24">
                  <c:v>30.270270270270274</c:v>
                </c:pt>
                <c:pt idx="25">
                  <c:v>29.189189189189189</c:v>
                </c:pt>
                <c:pt idx="26">
                  <c:v>28.108108108108109</c:v>
                </c:pt>
                <c:pt idx="27">
                  <c:v>27.027027027027028</c:v>
                </c:pt>
                <c:pt idx="28">
                  <c:v>25.945945945945947</c:v>
                </c:pt>
                <c:pt idx="29">
                  <c:v>24.864864864864867</c:v>
                </c:pt>
                <c:pt idx="30">
                  <c:v>23.783783783783786</c:v>
                </c:pt>
                <c:pt idx="31">
                  <c:v>22.702702702702705</c:v>
                </c:pt>
                <c:pt idx="32">
                  <c:v>21.621621621621621</c:v>
                </c:pt>
                <c:pt idx="33">
                  <c:v>20.54054054054054</c:v>
                </c:pt>
                <c:pt idx="34">
                  <c:v>19.45945945945946</c:v>
                </c:pt>
                <c:pt idx="35">
                  <c:v>18.378378378378379</c:v>
                </c:pt>
                <c:pt idx="36">
                  <c:v>17.297297297297298</c:v>
                </c:pt>
                <c:pt idx="37">
                  <c:v>16.216216216216218</c:v>
                </c:pt>
                <c:pt idx="38">
                  <c:v>15.135135135135137</c:v>
                </c:pt>
                <c:pt idx="39">
                  <c:v>14.054054054054054</c:v>
                </c:pt>
                <c:pt idx="40">
                  <c:v>12.972972972972974</c:v>
                </c:pt>
                <c:pt idx="41">
                  <c:v>11.891891891891893</c:v>
                </c:pt>
                <c:pt idx="42">
                  <c:v>10.810810810810811</c:v>
                </c:pt>
                <c:pt idx="43">
                  <c:v>9.7297297297297298</c:v>
                </c:pt>
                <c:pt idx="44">
                  <c:v>8.6486486486486491</c:v>
                </c:pt>
                <c:pt idx="45">
                  <c:v>7.5675675675675684</c:v>
                </c:pt>
                <c:pt idx="46">
                  <c:v>6.4864864864864868</c:v>
                </c:pt>
                <c:pt idx="47">
                  <c:v>5.4054054054054053</c:v>
                </c:pt>
                <c:pt idx="48">
                  <c:v>4.3243243243243246</c:v>
                </c:pt>
                <c:pt idx="49">
                  <c:v>3.2432432432432434</c:v>
                </c:pt>
                <c:pt idx="50">
                  <c:v>2.1621621621621623</c:v>
                </c:pt>
                <c:pt idx="51">
                  <c:v>1.0810810810810811</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0-4137-4BC4-B0D5-9F210898C7CA}"/>
            </c:ext>
          </c:extLst>
        </c:ser>
        <c:dLbls>
          <c:showLegendKey val="0"/>
          <c:showVal val="0"/>
          <c:showCatName val="0"/>
          <c:showSerName val="0"/>
          <c:showPercent val="0"/>
          <c:showBubbleSize val="0"/>
        </c:dLbls>
        <c:smooth val="0"/>
        <c:axId val="103365520"/>
        <c:axId val="103366304"/>
      </c:lineChart>
      <c:catAx>
        <c:axId val="103365520"/>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HWB</a:t>
                </a:r>
                <a:r>
                  <a:rPr lang="de-DE" sz="1200" b="1" i="0" u="none" strike="noStrike" baseline="-25000">
                    <a:effectLst/>
                    <a:latin typeface="Arial" panose="020B0604020202020204" pitchFamily="34" charset="0"/>
                    <a:cs typeface="Arial" panose="020B0604020202020204" pitchFamily="34" charset="0"/>
                  </a:rPr>
                  <a:t>SK</a:t>
                </a:r>
                <a:r>
                  <a:rPr lang="en-US" sz="1200">
                    <a:latin typeface="Arial"/>
                    <a:cs typeface="Arial"/>
                  </a:rPr>
                  <a:t> </a:t>
                </a:r>
                <a:r>
                  <a:rPr lang="en-US" sz="1000">
                    <a:latin typeface="Arial"/>
                    <a:cs typeface="Arial"/>
                  </a:rPr>
                  <a:t>in</a:t>
                </a:r>
                <a:r>
                  <a:rPr lang="en-US" sz="1000"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txPr>
          <a:bodyPr rot="0" vert="horz"/>
          <a:lstStyle/>
          <a:p>
            <a:pPr>
              <a:defRPr/>
            </a:pPr>
            <a:endParaRPr lang="de-DE"/>
          </a:p>
        </c:txPr>
        <c:crossAx val="103366304"/>
        <c:crosses val="autoZero"/>
        <c:auto val="1"/>
        <c:lblAlgn val="ctr"/>
        <c:lblOffset val="100"/>
        <c:tickLblSkip val="4"/>
        <c:tickMarkSkip val="2"/>
        <c:noMultiLvlLbl val="0"/>
      </c:catAx>
      <c:valAx>
        <c:axId val="103366304"/>
        <c:scaling>
          <c:orientation val="minMax"/>
          <c:max val="60"/>
          <c:min val="0"/>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3365520"/>
        <c:crosses val="autoZero"/>
        <c:crossBetween val="midCat"/>
        <c:majorUnit val="10"/>
        <c:minorUnit val="1"/>
      </c:valAx>
    </c:plotArea>
    <c:legend>
      <c:legendPos val="r"/>
      <c:overlay val="0"/>
    </c:legend>
    <c:plotVisOnly val="1"/>
    <c:dispBlanksAs val="gap"/>
    <c:showDLblsOverMax val="0"/>
  </c:chart>
  <c:printSettings>
    <c:headerFooter/>
    <c:pageMargins b="0.78740157499999996" l="0.7" r="0.7" t="0.78740157499999996"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Kühlbedarf KB</a:t>
            </a:r>
            <a:r>
              <a:rPr lang="de-DE" sz="1800" b="1" i="0" u="none" strike="noStrike" baseline="-25000">
                <a:effectLst/>
                <a:latin typeface="Arial" panose="020B0604020202020204" pitchFamily="34" charset="0"/>
                <a:cs typeface="Arial" panose="020B0604020202020204" pitchFamily="34" charset="0"/>
              </a:rPr>
              <a:t>SK</a:t>
            </a:r>
            <a:r>
              <a:rPr lang="de-DE" sz="1800" b="1" i="0" u="none" strike="noStrike" baseline="0">
                <a:latin typeface="Arial" panose="020B0604020202020204" pitchFamily="34" charset="0"/>
                <a:cs typeface="Arial" panose="020B0604020202020204" pitchFamily="34" charset="0"/>
              </a:rPr>
              <a:t> </a:t>
            </a:r>
            <a:r>
              <a:rPr lang="en-US" sz="1800" b="1" i="0" u="none" strike="noStrike" baseline="0">
                <a:effectLst/>
              </a:rPr>
              <a:t>minderbeheizte Gebäude</a:t>
            </a:r>
            <a:endParaRPr lang="en-US"/>
          </a:p>
        </c:rich>
      </c:tx>
      <c:overlay val="0"/>
    </c:title>
    <c:autoTitleDeleted val="0"/>
    <c:plotArea>
      <c:layout/>
      <c:lineChart>
        <c:grouping val="standard"/>
        <c:varyColors val="0"/>
        <c:ser>
          <c:idx val="0"/>
          <c:order val="0"/>
          <c:tx>
            <c:strRef>
              <c:f>'B1b Graphik'!$I$92:$J$92</c:f>
              <c:strCache>
                <c:ptCount val="1"/>
                <c:pt idx="0">
                  <c:v>Kühlbedarf</c:v>
                </c:pt>
              </c:strCache>
            </c:strRef>
          </c:tx>
          <c:marker>
            <c:symbol val="none"/>
          </c:marker>
          <c:cat>
            <c:numRef>
              <c:f>'B1b Graphik'!$I$94:$I$134</c:f>
              <c:numCache>
                <c:formatCode>0</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'B1b Graphik'!$J$94:$J$134</c:f>
              <c:numCache>
                <c:formatCode>0</c:formatCode>
                <c:ptCount val="41"/>
                <c:pt idx="0">
                  <c:v>45</c:v>
                </c:pt>
                <c:pt idx="1">
                  <c:v>45</c:v>
                </c:pt>
                <c:pt idx="2">
                  <c:v>45</c:v>
                </c:pt>
                <c:pt idx="3">
                  <c:v>45</c:v>
                </c:pt>
                <c:pt idx="4">
                  <c:v>45</c:v>
                </c:pt>
                <c:pt idx="5">
                  <c:v>45</c:v>
                </c:pt>
                <c:pt idx="6">
                  <c:v>45</c:v>
                </c:pt>
                <c:pt idx="7">
                  <c:v>45</c:v>
                </c:pt>
                <c:pt idx="8">
                  <c:v>45</c:v>
                </c:pt>
                <c:pt idx="9">
                  <c:v>45</c:v>
                </c:pt>
                <c:pt idx="10">
                  <c:v>45</c:v>
                </c:pt>
                <c:pt idx="11">
                  <c:v>45</c:v>
                </c:pt>
                <c:pt idx="12">
                  <c:v>45</c:v>
                </c:pt>
                <c:pt idx="13">
                  <c:v>42.5</c:v>
                </c:pt>
                <c:pt idx="14">
                  <c:v>40</c:v>
                </c:pt>
                <c:pt idx="15">
                  <c:v>37.5</c:v>
                </c:pt>
                <c:pt idx="16">
                  <c:v>35</c:v>
                </c:pt>
                <c:pt idx="17">
                  <c:v>32.5</c:v>
                </c:pt>
                <c:pt idx="18">
                  <c:v>30</c:v>
                </c:pt>
                <c:pt idx="19">
                  <c:v>27.5</c:v>
                </c:pt>
                <c:pt idx="20">
                  <c:v>25</c:v>
                </c:pt>
                <c:pt idx="21">
                  <c:v>22.5</c:v>
                </c:pt>
                <c:pt idx="22">
                  <c:v>20</c:v>
                </c:pt>
                <c:pt idx="23">
                  <c:v>17.5</c:v>
                </c:pt>
                <c:pt idx="24">
                  <c:v>15</c:v>
                </c:pt>
                <c:pt idx="25">
                  <c:v>12.5</c:v>
                </c:pt>
                <c:pt idx="26">
                  <c:v>10</c:v>
                </c:pt>
                <c:pt idx="27">
                  <c:v>7.5</c:v>
                </c:pt>
                <c:pt idx="28">
                  <c:v>5</c:v>
                </c:pt>
                <c:pt idx="29">
                  <c:v>2.5</c:v>
                </c:pt>
                <c:pt idx="30">
                  <c:v>0</c:v>
                </c:pt>
                <c:pt idx="31">
                  <c:v>0</c:v>
                </c:pt>
                <c:pt idx="32">
                  <c:v>0</c:v>
                </c:pt>
                <c:pt idx="33">
                  <c:v>0</c:v>
                </c:pt>
                <c:pt idx="34">
                  <c:v>0</c:v>
                </c:pt>
                <c:pt idx="35">
                  <c:v>0</c:v>
                </c:pt>
                <c:pt idx="36">
                  <c:v>0</c:v>
                </c:pt>
                <c:pt idx="37">
                  <c:v>0</c:v>
                </c:pt>
                <c:pt idx="38">
                  <c:v>0</c:v>
                </c:pt>
                <c:pt idx="39">
                  <c:v>0</c:v>
                </c:pt>
                <c:pt idx="40">
                  <c:v>0</c:v>
                </c:pt>
              </c:numCache>
            </c:numRef>
          </c:val>
          <c:smooth val="0"/>
          <c:extLst>
            <c:ext xmlns:c16="http://schemas.microsoft.com/office/drawing/2014/chart" uri="{C3380CC4-5D6E-409C-BE32-E72D297353CC}">
              <c16:uniqueId val="{00000000-151E-4673-8008-BBA6056911AB}"/>
            </c:ext>
          </c:extLst>
        </c:ser>
        <c:dLbls>
          <c:showLegendKey val="0"/>
          <c:showVal val="0"/>
          <c:showCatName val="0"/>
          <c:showSerName val="0"/>
          <c:showPercent val="0"/>
          <c:showBubbleSize val="0"/>
        </c:dLbls>
        <c:smooth val="0"/>
        <c:axId val="104017064"/>
        <c:axId val="104017456"/>
      </c:lineChart>
      <c:catAx>
        <c:axId val="104017064"/>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KB</a:t>
                </a:r>
                <a:r>
                  <a:rPr lang="de-DE" sz="1200" b="1" i="0" u="none" strike="noStrike" baseline="-25000">
                    <a:effectLst/>
                    <a:latin typeface="Arial" panose="020B0604020202020204" pitchFamily="34" charset="0"/>
                    <a:cs typeface="Arial" panose="020B0604020202020204" pitchFamily="34" charset="0"/>
                  </a:rPr>
                  <a:t>SK</a:t>
                </a:r>
                <a:r>
                  <a:rPr lang="en-US">
                    <a:latin typeface="Arial"/>
                    <a:cs typeface="Arial"/>
                  </a:rPr>
                  <a:t> in</a:t>
                </a:r>
                <a:r>
                  <a:rPr lang="en-US"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crossAx val="104017456"/>
        <c:crosses val="autoZero"/>
        <c:auto val="1"/>
        <c:lblAlgn val="ctr"/>
        <c:lblOffset val="100"/>
        <c:tickLblSkip val="2"/>
        <c:tickMarkSkip val="1"/>
        <c:noMultiLvlLbl val="0"/>
      </c:catAx>
      <c:valAx>
        <c:axId val="104017456"/>
        <c:scaling>
          <c:orientation val="minMax"/>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4017064"/>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Gebäudehülle LEK</a:t>
            </a:r>
            <a:r>
              <a:rPr lang="de-DE" sz="1800" b="1" i="0" u="none" strike="noStrike" baseline="-25000">
                <a:effectLst/>
                <a:latin typeface="Arial" panose="020B0604020202020204" pitchFamily="34" charset="0"/>
                <a:cs typeface="Arial" panose="020B0604020202020204" pitchFamily="34" charset="0"/>
              </a:rPr>
              <a:t>T</a:t>
            </a:r>
            <a:r>
              <a:rPr lang="de-DE" sz="1800" b="1" i="0" u="none" strike="noStrike" baseline="0">
                <a:latin typeface="Arial" panose="020B0604020202020204" pitchFamily="34" charset="0"/>
                <a:cs typeface="Arial" panose="020B0604020202020204" pitchFamily="34" charset="0"/>
              </a:rPr>
              <a:t> </a:t>
            </a:r>
            <a:r>
              <a:rPr lang="en-US" sz="1800" b="1" i="0" u="none" strike="noStrike" baseline="0">
                <a:effectLst/>
              </a:rPr>
              <a:t>minderbeheizte Gebäude</a:t>
            </a:r>
            <a:endParaRPr lang="en-US"/>
          </a:p>
        </c:rich>
      </c:tx>
      <c:overlay val="0"/>
    </c:title>
    <c:autoTitleDeleted val="0"/>
    <c:plotArea>
      <c:layout/>
      <c:lineChart>
        <c:grouping val="standard"/>
        <c:varyColors val="0"/>
        <c:ser>
          <c:idx val="1"/>
          <c:order val="0"/>
          <c:tx>
            <c:strRef>
              <c:f>'B1b Graphik'!$F$92:$G$92</c:f>
              <c:strCache>
                <c:ptCount val="1"/>
                <c:pt idx="0">
                  <c:v>LEKT</c:v>
                </c:pt>
              </c:strCache>
            </c:strRef>
          </c:tx>
          <c:spPr>
            <a:ln w="28575">
              <a:solidFill>
                <a:schemeClr val="accent4">
                  <a:lumMod val="75000"/>
                </a:schemeClr>
              </a:solidFill>
            </a:ln>
          </c:spPr>
          <c:marker>
            <c:symbol val="none"/>
          </c:marker>
          <c:cat>
            <c:numRef>
              <c:f>'B1b Graphik'!$F$94:$F$129</c:f>
              <c:numCache>
                <c:formatCode>0</c:formatCode>
                <c:ptCount val="3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cat>
          <c:val>
            <c:numRef>
              <c:f>'B1b Graphik'!$G$94:$G$129</c:f>
              <c:numCache>
                <c:formatCode>0</c:formatCode>
                <c:ptCount val="3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44.444444444444443</c:v>
                </c:pt>
                <c:pt idx="17">
                  <c:v>38.888888888888886</c:v>
                </c:pt>
                <c:pt idx="18">
                  <c:v>33.333333333333329</c:v>
                </c:pt>
                <c:pt idx="19">
                  <c:v>27.777777777777779</c:v>
                </c:pt>
                <c:pt idx="20">
                  <c:v>22.222222222222221</c:v>
                </c:pt>
                <c:pt idx="21">
                  <c:v>16.666666666666664</c:v>
                </c:pt>
                <c:pt idx="22">
                  <c:v>11.111111111111111</c:v>
                </c:pt>
                <c:pt idx="23">
                  <c:v>5.5555555555555554</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0-B704-4F44-9B96-45AFC7F5D85D}"/>
            </c:ext>
          </c:extLst>
        </c:ser>
        <c:dLbls>
          <c:showLegendKey val="0"/>
          <c:showVal val="0"/>
          <c:showCatName val="0"/>
          <c:showSerName val="0"/>
          <c:showPercent val="0"/>
          <c:showBubbleSize val="0"/>
        </c:dLbls>
        <c:smooth val="0"/>
        <c:axId val="103365520"/>
        <c:axId val="103366304"/>
      </c:lineChart>
      <c:catAx>
        <c:axId val="103365520"/>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LEK</a:t>
                </a:r>
                <a:r>
                  <a:rPr lang="de-DE" sz="1200" b="1" i="0" u="none" strike="noStrike" baseline="-25000">
                    <a:effectLst/>
                    <a:latin typeface="Arial" panose="020B0604020202020204" pitchFamily="34" charset="0"/>
                    <a:cs typeface="Arial" panose="020B0604020202020204" pitchFamily="34" charset="0"/>
                  </a:rPr>
                  <a:t>T</a:t>
                </a:r>
                <a:r>
                  <a:rPr lang="en-US" sz="1200">
                    <a:latin typeface="Arial"/>
                    <a:cs typeface="Arial"/>
                  </a:rPr>
                  <a:t> (</a:t>
                </a:r>
                <a:r>
                  <a:rPr lang="en-US" sz="1000">
                    <a:latin typeface="Arial"/>
                    <a:cs typeface="Arial"/>
                  </a:rPr>
                  <a:t>dimensionslos)</a:t>
                </a:r>
                <a:endParaRPr lang="en-US"/>
              </a:p>
            </c:rich>
          </c:tx>
          <c:overlay val="0"/>
        </c:title>
        <c:numFmt formatCode="0" sourceLinked="1"/>
        <c:majorTickMark val="out"/>
        <c:minorTickMark val="none"/>
        <c:tickLblPos val="nextTo"/>
        <c:txPr>
          <a:bodyPr rot="0" vert="horz"/>
          <a:lstStyle/>
          <a:p>
            <a:pPr>
              <a:defRPr/>
            </a:pPr>
            <a:endParaRPr lang="de-DE"/>
          </a:p>
        </c:txPr>
        <c:crossAx val="103366304"/>
        <c:crosses val="autoZero"/>
        <c:auto val="1"/>
        <c:lblAlgn val="ctr"/>
        <c:lblOffset val="100"/>
        <c:tickLblSkip val="2"/>
        <c:tickMarkSkip val="1"/>
        <c:noMultiLvlLbl val="0"/>
      </c:catAx>
      <c:valAx>
        <c:axId val="103366304"/>
        <c:scaling>
          <c:orientation val="minMax"/>
          <c:max val="70"/>
          <c:min val="0"/>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3365520"/>
        <c:crosses val="autoZero"/>
        <c:crossBetween val="midCat"/>
        <c:majorUnit val="10"/>
      </c:valAx>
    </c:plotArea>
    <c:legend>
      <c:legendPos val="r"/>
      <c:overlay val="0"/>
    </c:legend>
    <c:plotVisOnly val="1"/>
    <c:dispBlanksAs val="gap"/>
    <c:showDLblsOverMax val="0"/>
  </c:chart>
  <c:printSettings>
    <c:headerFooter/>
    <c:pageMargins b="0.78740157499999996" l="0.7" r="0.7" t="0.78740157499999996"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559901</xdr:colOff>
      <xdr:row>55</xdr:row>
      <xdr:rowOff>137302</xdr:rowOff>
    </xdr:from>
    <xdr:to>
      <xdr:col>14</xdr:col>
      <xdr:colOff>246185</xdr:colOff>
      <xdr:row>71</xdr:row>
      <xdr:rowOff>7517</xdr:rowOff>
    </xdr:to>
    <xdr:graphicFrame macro="">
      <xdr:nvGraphicFramePr>
        <xdr:cNvPr id="2" name="Diagramm 1">
          <a:extLst>
            <a:ext uri="{FF2B5EF4-FFF2-40B4-BE49-F238E27FC236}">
              <a16:creationId xmlns:a16="http://schemas.microsoft.com/office/drawing/2014/main" id="{58758870-D675-4F68-9C4A-FF1755843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540852</xdr:colOff>
      <xdr:row>73</xdr:row>
      <xdr:rowOff>6426</xdr:rowOff>
    </xdr:from>
    <xdr:to>
      <xdr:col>14</xdr:col>
      <xdr:colOff>152402</xdr:colOff>
      <xdr:row>87</xdr:row>
      <xdr:rowOff>162020</xdr:rowOff>
    </xdr:to>
    <xdr:graphicFrame macro="">
      <xdr:nvGraphicFramePr>
        <xdr:cNvPr id="3" name="Diagramm 2">
          <a:extLst>
            <a:ext uri="{FF2B5EF4-FFF2-40B4-BE49-F238E27FC236}">
              <a16:creationId xmlns:a16="http://schemas.microsoft.com/office/drawing/2014/main" id="{47C6D8A7-4965-4D86-8678-1BAF241CB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501393</xdr:colOff>
      <xdr:row>4</xdr:row>
      <xdr:rowOff>50589</xdr:rowOff>
    </xdr:from>
    <xdr:to>
      <xdr:col>14</xdr:col>
      <xdr:colOff>88263</xdr:colOff>
      <xdr:row>19</xdr:row>
      <xdr:rowOff>92203</xdr:rowOff>
    </xdr:to>
    <xdr:graphicFrame macro="">
      <xdr:nvGraphicFramePr>
        <xdr:cNvPr id="4" name="Diagramm 3">
          <a:extLst>
            <a:ext uri="{FF2B5EF4-FFF2-40B4-BE49-F238E27FC236}">
              <a16:creationId xmlns:a16="http://schemas.microsoft.com/office/drawing/2014/main" id="{62389D6C-B6B4-40E1-BB86-160DBE080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510175</xdr:colOff>
      <xdr:row>38</xdr:row>
      <xdr:rowOff>135076</xdr:rowOff>
    </xdr:from>
    <xdr:to>
      <xdr:col>14</xdr:col>
      <xdr:colOff>124939</xdr:colOff>
      <xdr:row>53</xdr:row>
      <xdr:rowOff>175874</xdr:rowOff>
    </xdr:to>
    <xdr:graphicFrame macro="">
      <xdr:nvGraphicFramePr>
        <xdr:cNvPr id="5" name="Diagramm 7">
          <a:extLst>
            <a:ext uri="{FF2B5EF4-FFF2-40B4-BE49-F238E27FC236}">
              <a16:creationId xmlns:a16="http://schemas.microsoft.com/office/drawing/2014/main" id="{E6F03E3A-6E7C-42E7-B51D-9B5F1C0A9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499755</xdr:colOff>
      <xdr:row>21</xdr:row>
      <xdr:rowOff>97972</xdr:rowOff>
    </xdr:from>
    <xdr:to>
      <xdr:col>14</xdr:col>
      <xdr:colOff>86625</xdr:colOff>
      <xdr:row>36</xdr:row>
      <xdr:rowOff>139586</xdr:rowOff>
    </xdr:to>
    <xdr:graphicFrame macro="">
      <xdr:nvGraphicFramePr>
        <xdr:cNvPr id="11" name="Diagramm 10">
          <a:extLst>
            <a:ext uri="{FF2B5EF4-FFF2-40B4-BE49-F238E27FC236}">
              <a16:creationId xmlns:a16="http://schemas.microsoft.com/office/drawing/2014/main" id="{CC14533A-74A4-4928-BB8A-70BC9189D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42"/>
  <sheetViews>
    <sheetView showGridLines="0" zoomScaleNormal="100" zoomScalePageLayoutView="145" workbookViewId="0">
      <selection activeCell="F42" sqref="F42"/>
    </sheetView>
  </sheetViews>
  <sheetFormatPr baseColWidth="10" defaultColWidth="11.42578125" defaultRowHeight="12.75"/>
  <cols>
    <col min="1" max="1" width="43" customWidth="1"/>
    <col min="2" max="2" width="44.42578125" customWidth="1"/>
    <col min="3" max="3" width="0" hidden="1" customWidth="1"/>
  </cols>
  <sheetData>
    <row r="1" spans="1:4">
      <c r="A1" s="164"/>
    </row>
    <row r="2" spans="1:4" ht="12.75" customHeight="1">
      <c r="A2" s="739" t="s">
        <v>292</v>
      </c>
      <c r="B2" s="739"/>
    </row>
    <row r="3" spans="1:4">
      <c r="A3" s="739"/>
      <c r="B3" s="739"/>
    </row>
    <row r="4" spans="1:4">
      <c r="A4" s="739"/>
      <c r="B4" s="739"/>
    </row>
    <row r="5" spans="1:4">
      <c r="A5" s="739"/>
      <c r="B5" s="739"/>
    </row>
    <row r="6" spans="1:4">
      <c r="A6" s="739"/>
      <c r="B6" s="739"/>
    </row>
    <row r="7" spans="1:4">
      <c r="A7" s="739"/>
      <c r="B7" s="739"/>
    </row>
    <row r="8" spans="1:4">
      <c r="A8" s="739"/>
      <c r="B8" s="739"/>
    </row>
    <row r="9" spans="1:4" ht="7.5" customHeight="1" thickBot="1"/>
    <row r="10" spans="1:4" ht="21" thickBot="1">
      <c r="A10" s="735" t="s">
        <v>0</v>
      </c>
      <c r="B10" s="736"/>
      <c r="D10" s="152"/>
    </row>
    <row r="11" spans="1:4" ht="5.25" customHeight="1">
      <c r="A11" s="195"/>
      <c r="B11" s="195"/>
    </row>
    <row r="12" spans="1:4" ht="20.100000000000001" customHeight="1">
      <c r="A12" s="161" t="s">
        <v>1</v>
      </c>
      <c r="B12" s="156"/>
    </row>
    <row r="13" spans="1:4" ht="20.100000000000001" customHeight="1">
      <c r="A13" s="161" t="s">
        <v>2</v>
      </c>
      <c r="B13" s="156"/>
    </row>
    <row r="14" spans="1:4" ht="20.100000000000001" customHeight="1">
      <c r="A14" s="161" t="s">
        <v>3</v>
      </c>
      <c r="B14" s="156"/>
    </row>
    <row r="15" spans="1:4" ht="20.100000000000001" customHeight="1">
      <c r="A15" s="161" t="s">
        <v>4</v>
      </c>
      <c r="B15" s="156"/>
    </row>
    <row r="16" spans="1:4" ht="20.100000000000001" customHeight="1">
      <c r="A16" s="161" t="s">
        <v>5</v>
      </c>
      <c r="B16" s="156"/>
    </row>
    <row r="17" spans="1:4" ht="20.100000000000001" customHeight="1">
      <c r="A17" s="161" t="s">
        <v>6</v>
      </c>
      <c r="B17" s="157"/>
    </row>
    <row r="18" spans="1:4" ht="20.100000000000001" customHeight="1">
      <c r="A18" s="161" t="s">
        <v>7</v>
      </c>
      <c r="B18" s="157"/>
    </row>
    <row r="19" spans="1:4" ht="45" hidden="1" customHeight="1">
      <c r="A19" s="163" t="s">
        <v>8</v>
      </c>
      <c r="B19" s="148">
        <v>0</v>
      </c>
      <c r="C19">
        <v>0</v>
      </c>
    </row>
    <row r="20" spans="1:4" ht="18.75" customHeight="1">
      <c r="A20" s="162" t="s">
        <v>9</v>
      </c>
      <c r="B20" s="160">
        <f>Punktevergabe!F9</f>
        <v>0</v>
      </c>
      <c r="C20">
        <v>-30</v>
      </c>
    </row>
    <row r="21" spans="1:4" ht="9.75" customHeight="1" thickBot="1">
      <c r="A21" s="196"/>
      <c r="C21">
        <v>-50</v>
      </c>
    </row>
    <row r="22" spans="1:4" ht="21" thickBot="1">
      <c r="A22" s="737" t="s">
        <v>10</v>
      </c>
      <c r="B22" s="738"/>
      <c r="C22">
        <v>-60</v>
      </c>
      <c r="D22" s="152"/>
    </row>
    <row r="23" spans="1:4" ht="8.25" customHeight="1">
      <c r="C23">
        <v>-70</v>
      </c>
    </row>
    <row r="24" spans="1:4" ht="30" customHeight="1">
      <c r="A24" s="163" t="s">
        <v>11</v>
      </c>
      <c r="B24" s="156"/>
    </row>
    <row r="25" spans="1:4" ht="20.100000000000001" customHeight="1">
      <c r="A25" s="163" t="s">
        <v>12</v>
      </c>
      <c r="B25" s="156"/>
    </row>
    <row r="26" spans="1:4" ht="20.100000000000001" customHeight="1">
      <c r="A26" s="163" t="s">
        <v>13</v>
      </c>
      <c r="B26" s="157"/>
    </row>
    <row r="27" spans="1:4" ht="8.25" customHeight="1">
      <c r="A27" s="164"/>
    </row>
    <row r="28" spans="1:4">
      <c r="A28" s="164"/>
    </row>
    <row r="29" spans="1:4">
      <c r="A29" s="740" t="s">
        <v>250</v>
      </c>
      <c r="B29" s="741"/>
    </row>
    <row r="30" spans="1:4">
      <c r="A30" s="742"/>
      <c r="B30" s="743"/>
    </row>
    <row r="31" spans="1:4">
      <c r="A31" s="742"/>
      <c r="B31" s="743"/>
    </row>
    <row r="32" spans="1:4">
      <c r="A32" s="742"/>
      <c r="B32" s="743"/>
    </row>
    <row r="33" spans="1:2">
      <c r="A33" s="742"/>
      <c r="B33" s="743"/>
    </row>
    <row r="34" spans="1:2">
      <c r="A34" s="742"/>
      <c r="B34" s="743"/>
    </row>
    <row r="35" spans="1:2">
      <c r="A35" s="742"/>
      <c r="B35" s="743"/>
    </row>
    <row r="36" spans="1:2">
      <c r="A36" s="742"/>
      <c r="B36" s="743"/>
    </row>
    <row r="37" spans="1:2">
      <c r="A37" s="742"/>
      <c r="B37" s="743"/>
    </row>
    <row r="38" spans="1:2">
      <c r="A38" s="744"/>
      <c r="B38" s="745"/>
    </row>
    <row r="40" spans="1:2" ht="10.5" customHeight="1"/>
    <row r="41" spans="1:2" ht="21" customHeight="1">
      <c r="A41" s="161" t="s">
        <v>14</v>
      </c>
      <c r="B41" s="157"/>
    </row>
    <row r="42" spans="1:2" ht="69" customHeight="1">
      <c r="A42" s="161" t="s">
        <v>15</v>
      </c>
      <c r="B42" s="156"/>
    </row>
  </sheetData>
  <sheetProtection selectLockedCells="1"/>
  <mergeCells count="4">
    <mergeCell ref="A10:B10"/>
    <mergeCell ref="A22:B22"/>
    <mergeCell ref="A2:B8"/>
    <mergeCell ref="A29:B38"/>
  </mergeCells>
  <dataValidations disablePrompts="1" count="1">
    <dataValidation type="list" allowBlank="1" showInputMessage="1" showErrorMessage="1" sqref="B19" xr:uid="{00000000-0002-0000-0000-000000000000}">
      <formula1>$C$19:$C$23</formula1>
    </dataValidation>
  </dataValidations>
  <printOptions horizontalCentered="1"/>
  <pageMargins left="0.59055118110236227" right="0.59055118110236227" top="0.59055118110236227" bottom="0.59055118110236227"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247"/>
  <sheetViews>
    <sheetView zoomScale="85" zoomScaleNormal="85" workbookViewId="0">
      <selection activeCell="P85" sqref="P85"/>
    </sheetView>
  </sheetViews>
  <sheetFormatPr baseColWidth="10" defaultColWidth="11.42578125" defaultRowHeight="14.25"/>
  <cols>
    <col min="1" max="1" width="11.42578125" style="445"/>
    <col min="2" max="18" width="11.28515625" style="445" customWidth="1"/>
    <col min="19" max="16384" width="11.42578125" style="445"/>
  </cols>
  <sheetData>
    <row r="1" spans="2:17" ht="15" thickBot="1"/>
    <row r="2" spans="2:17">
      <c r="B2" s="996" t="s">
        <v>176</v>
      </c>
      <c r="C2" s="997"/>
      <c r="D2" s="998"/>
      <c r="E2" s="998"/>
      <c r="F2" s="998"/>
      <c r="G2" s="998"/>
      <c r="H2" s="998"/>
      <c r="I2" s="998"/>
      <c r="J2" s="998"/>
      <c r="K2" s="998"/>
      <c r="L2" s="998"/>
      <c r="M2" s="998"/>
      <c r="N2" s="998"/>
      <c r="O2" s="998"/>
      <c r="P2" s="998"/>
      <c r="Q2" s="999"/>
    </row>
    <row r="3" spans="2:17" ht="15" thickBot="1">
      <c r="B3" s="1000"/>
      <c r="C3" s="1001"/>
      <c r="D3" s="1001"/>
      <c r="E3" s="1001"/>
      <c r="F3" s="1001"/>
      <c r="G3" s="1001"/>
      <c r="H3" s="1001"/>
      <c r="I3" s="1001"/>
      <c r="J3" s="1001"/>
      <c r="K3" s="1001"/>
      <c r="L3" s="1001"/>
      <c r="M3" s="1001"/>
      <c r="N3" s="1001"/>
      <c r="O3" s="1001"/>
      <c r="P3" s="1001"/>
      <c r="Q3" s="1002"/>
    </row>
    <row r="4" spans="2:17">
      <c r="B4" s="446"/>
      <c r="C4" s="446"/>
      <c r="D4" s="446"/>
      <c r="E4" s="446"/>
      <c r="F4" s="446"/>
      <c r="G4" s="446"/>
      <c r="H4" s="446"/>
      <c r="I4" s="446"/>
      <c r="J4" s="446"/>
      <c r="K4" s="446"/>
      <c r="L4" s="446"/>
      <c r="M4" s="446"/>
      <c r="N4" s="446"/>
      <c r="O4" s="446"/>
      <c r="P4" s="446"/>
      <c r="Q4" s="446"/>
    </row>
    <row r="5" spans="2:17">
      <c r="B5" s="446"/>
      <c r="C5" s="446"/>
      <c r="D5" s="446"/>
      <c r="E5" s="446"/>
      <c r="F5" s="446"/>
      <c r="G5" s="446"/>
      <c r="H5" s="446"/>
      <c r="I5" s="446"/>
      <c r="J5" s="446"/>
      <c r="K5" s="446"/>
      <c r="L5" s="446"/>
      <c r="M5" s="446"/>
      <c r="N5" s="446"/>
      <c r="O5" s="446"/>
      <c r="P5" s="446"/>
      <c r="Q5" s="446"/>
    </row>
    <row r="6" spans="2:17">
      <c r="B6" s="446"/>
      <c r="C6" s="446"/>
      <c r="D6" s="446"/>
      <c r="E6" s="446"/>
      <c r="F6" s="446"/>
      <c r="G6" s="446"/>
      <c r="H6" s="446"/>
      <c r="I6" s="446"/>
      <c r="J6" s="446"/>
      <c r="K6" s="446"/>
      <c r="L6" s="446"/>
      <c r="M6" s="446"/>
      <c r="N6" s="446"/>
      <c r="O6" s="446"/>
      <c r="P6" s="446"/>
      <c r="Q6" s="446"/>
    </row>
    <row r="7" spans="2:17">
      <c r="B7" s="446"/>
      <c r="C7" s="446"/>
      <c r="D7" s="446"/>
      <c r="E7" s="446"/>
      <c r="F7" s="446"/>
      <c r="G7" s="446"/>
      <c r="H7" s="446"/>
      <c r="I7" s="446"/>
      <c r="J7" s="446"/>
      <c r="K7" s="446"/>
      <c r="L7" s="446"/>
      <c r="M7" s="446"/>
      <c r="N7" s="446"/>
      <c r="O7" s="446"/>
      <c r="P7" s="446"/>
      <c r="Q7" s="446"/>
    </row>
    <row r="8" spans="2:17">
      <c r="B8" s="446"/>
      <c r="C8" s="446"/>
      <c r="D8" s="446"/>
      <c r="E8" s="446"/>
      <c r="F8" s="446"/>
      <c r="G8" s="446"/>
      <c r="H8" s="446"/>
      <c r="I8" s="446"/>
      <c r="J8" s="446"/>
      <c r="K8" s="446"/>
      <c r="L8" s="446"/>
      <c r="M8" s="446"/>
      <c r="N8" s="446"/>
      <c r="O8" s="446"/>
      <c r="P8" s="446"/>
      <c r="Q8" s="446"/>
    </row>
    <row r="9" spans="2:17">
      <c r="B9" s="446"/>
      <c r="C9" s="446"/>
      <c r="D9" s="446"/>
      <c r="E9" s="446"/>
      <c r="F9" s="446"/>
      <c r="G9" s="446"/>
      <c r="H9" s="446"/>
      <c r="I9" s="446"/>
      <c r="J9" s="446"/>
      <c r="K9" s="446"/>
      <c r="L9" s="446"/>
      <c r="M9" s="446"/>
      <c r="N9" s="446"/>
      <c r="O9" s="446"/>
      <c r="P9" s="446"/>
      <c r="Q9" s="446"/>
    </row>
    <row r="10" spans="2:17">
      <c r="B10" s="446"/>
      <c r="C10" s="446"/>
      <c r="D10" s="446"/>
      <c r="E10" s="446"/>
      <c r="F10" s="446"/>
      <c r="G10" s="446"/>
      <c r="H10" s="446"/>
      <c r="I10" s="446"/>
      <c r="J10" s="446"/>
      <c r="K10" s="446"/>
      <c r="L10" s="446"/>
      <c r="M10" s="446"/>
      <c r="N10" s="446"/>
      <c r="O10" s="446"/>
      <c r="P10" s="446"/>
      <c r="Q10" s="446"/>
    </row>
    <row r="11" spans="2:17">
      <c r="B11" s="446"/>
      <c r="C11" s="446"/>
      <c r="D11" s="446"/>
      <c r="E11" s="446"/>
      <c r="F11" s="446"/>
      <c r="G11" s="446"/>
      <c r="H11" s="446"/>
      <c r="I11" s="446"/>
      <c r="J11" s="446"/>
      <c r="K11" s="446"/>
      <c r="L11" s="446"/>
      <c r="M11" s="446"/>
      <c r="N11" s="446"/>
      <c r="O11" s="446"/>
      <c r="P11" s="446"/>
      <c r="Q11" s="446"/>
    </row>
    <row r="12" spans="2:17">
      <c r="B12" s="446"/>
      <c r="C12" s="446"/>
      <c r="D12" s="446"/>
      <c r="E12" s="446"/>
      <c r="F12" s="446"/>
      <c r="G12" s="446"/>
      <c r="H12" s="446"/>
      <c r="I12" s="446"/>
      <c r="J12" s="446"/>
      <c r="K12" s="446"/>
      <c r="L12" s="446"/>
      <c r="M12" s="446"/>
      <c r="N12" s="446"/>
      <c r="O12" s="446"/>
      <c r="P12" s="446"/>
      <c r="Q12" s="446"/>
    </row>
    <row r="13" spans="2:17">
      <c r="B13" s="446"/>
      <c r="C13" s="446"/>
      <c r="D13" s="446"/>
      <c r="E13" s="446"/>
      <c r="F13" s="446"/>
      <c r="G13" s="446"/>
      <c r="H13" s="446"/>
      <c r="I13" s="446"/>
      <c r="J13" s="446"/>
      <c r="K13" s="446"/>
      <c r="L13" s="446"/>
      <c r="M13" s="446"/>
      <c r="N13" s="446"/>
      <c r="O13" s="446"/>
      <c r="P13" s="446"/>
      <c r="Q13" s="446"/>
    </row>
    <row r="14" spans="2:17">
      <c r="B14" s="446"/>
      <c r="C14" s="446"/>
      <c r="D14" s="446"/>
      <c r="E14" s="446"/>
      <c r="F14" s="446"/>
      <c r="G14" s="446"/>
      <c r="H14" s="446"/>
      <c r="I14" s="446"/>
      <c r="J14" s="446"/>
      <c r="K14" s="446"/>
      <c r="L14" s="446"/>
      <c r="M14" s="446"/>
      <c r="N14" s="446"/>
      <c r="O14" s="446"/>
      <c r="P14" s="446"/>
      <c r="Q14" s="446"/>
    </row>
    <row r="15" spans="2:17">
      <c r="B15" s="446"/>
      <c r="C15" s="446"/>
      <c r="D15" s="446"/>
      <c r="E15" s="446"/>
      <c r="F15" s="446"/>
      <c r="G15" s="446"/>
      <c r="H15" s="446"/>
      <c r="I15" s="446"/>
      <c r="J15" s="446"/>
      <c r="K15" s="446"/>
      <c r="L15" s="446"/>
      <c r="M15" s="446"/>
      <c r="N15" s="446"/>
      <c r="O15" s="446"/>
      <c r="P15" s="446"/>
      <c r="Q15" s="446"/>
    </row>
    <row r="16" spans="2:17">
      <c r="B16" s="446"/>
      <c r="C16" s="446"/>
      <c r="D16" s="446"/>
      <c r="E16" s="446"/>
      <c r="F16" s="446"/>
      <c r="G16" s="446"/>
      <c r="H16" s="446"/>
      <c r="I16" s="446"/>
      <c r="J16" s="446"/>
      <c r="K16" s="446"/>
      <c r="L16" s="446"/>
      <c r="M16" s="446"/>
      <c r="N16" s="446"/>
      <c r="O16" s="446"/>
      <c r="P16" s="446"/>
      <c r="Q16" s="446"/>
    </row>
    <row r="17" spans="2:17">
      <c r="B17" s="446"/>
      <c r="C17" s="446"/>
      <c r="D17" s="446"/>
      <c r="E17" s="446"/>
      <c r="F17" s="446"/>
      <c r="G17" s="446"/>
      <c r="H17" s="446"/>
      <c r="I17" s="446"/>
      <c r="J17" s="446"/>
      <c r="K17" s="446"/>
      <c r="L17" s="446"/>
      <c r="M17" s="446"/>
      <c r="N17" s="446"/>
      <c r="O17" s="446"/>
      <c r="P17" s="446"/>
      <c r="Q17" s="446"/>
    </row>
    <row r="18" spans="2:17">
      <c r="B18" s="446"/>
      <c r="C18" s="446"/>
      <c r="D18" s="446"/>
      <c r="E18" s="446"/>
      <c r="F18" s="446"/>
      <c r="G18" s="446"/>
      <c r="H18" s="446"/>
      <c r="I18" s="446"/>
      <c r="J18" s="446"/>
      <c r="K18" s="446"/>
      <c r="L18" s="446"/>
      <c r="M18" s="446"/>
      <c r="N18" s="446"/>
      <c r="O18" s="446"/>
      <c r="P18" s="446"/>
      <c r="Q18" s="446"/>
    </row>
    <row r="19" spans="2:17">
      <c r="B19" s="446"/>
      <c r="C19" s="446"/>
      <c r="D19" s="446"/>
      <c r="E19" s="446"/>
      <c r="F19" s="446"/>
      <c r="G19" s="446"/>
      <c r="H19" s="446"/>
      <c r="I19" s="446"/>
      <c r="J19" s="446"/>
      <c r="K19" s="446"/>
      <c r="L19" s="446"/>
      <c r="M19" s="446"/>
      <c r="N19" s="446"/>
      <c r="O19" s="446"/>
      <c r="P19" s="446"/>
      <c r="Q19" s="446"/>
    </row>
    <row r="20" spans="2:17">
      <c r="B20" s="446"/>
      <c r="C20" s="446"/>
      <c r="D20" s="446"/>
      <c r="E20" s="446"/>
      <c r="F20" s="446"/>
      <c r="G20" s="446"/>
      <c r="H20" s="446"/>
      <c r="I20" s="446"/>
      <c r="J20" s="446"/>
      <c r="K20" s="446"/>
      <c r="L20" s="446"/>
      <c r="M20" s="446"/>
      <c r="N20" s="446"/>
      <c r="O20" s="446"/>
      <c r="P20" s="446"/>
      <c r="Q20" s="446"/>
    </row>
    <row r="21" spans="2:17">
      <c r="B21" s="446"/>
      <c r="C21" s="446"/>
      <c r="D21" s="446"/>
      <c r="E21" s="446"/>
      <c r="F21" s="446"/>
      <c r="G21" s="446"/>
      <c r="H21" s="446"/>
      <c r="I21" s="446"/>
      <c r="J21" s="446"/>
      <c r="K21" s="446"/>
      <c r="L21" s="446"/>
      <c r="M21" s="446"/>
      <c r="N21" s="446"/>
      <c r="O21" s="446"/>
      <c r="P21" s="446"/>
      <c r="Q21" s="446"/>
    </row>
    <row r="22" spans="2:17">
      <c r="B22" s="446"/>
      <c r="C22" s="446"/>
      <c r="D22" s="446"/>
      <c r="E22" s="446"/>
      <c r="F22" s="446"/>
      <c r="G22" s="446"/>
      <c r="H22" s="446"/>
      <c r="I22" s="446"/>
      <c r="J22" s="446"/>
      <c r="K22" s="446"/>
      <c r="L22" s="446"/>
      <c r="M22" s="446"/>
      <c r="N22" s="446"/>
      <c r="O22" s="446"/>
      <c r="P22" s="446"/>
      <c r="Q22" s="446"/>
    </row>
    <row r="23" spans="2:17">
      <c r="B23" s="446"/>
      <c r="C23" s="446"/>
      <c r="D23" s="446"/>
      <c r="E23" s="446"/>
      <c r="F23" s="446"/>
      <c r="G23" s="446"/>
      <c r="H23" s="446"/>
      <c r="I23" s="446"/>
      <c r="J23" s="446"/>
      <c r="K23" s="446"/>
      <c r="L23" s="446"/>
      <c r="M23" s="446"/>
      <c r="N23" s="446"/>
      <c r="O23" s="446"/>
      <c r="P23" s="446"/>
      <c r="Q23" s="446"/>
    </row>
    <row r="24" spans="2:17">
      <c r="B24" s="446"/>
      <c r="C24" s="446"/>
      <c r="D24" s="446"/>
      <c r="E24" s="446"/>
      <c r="F24" s="446"/>
      <c r="G24" s="446"/>
      <c r="H24" s="446"/>
      <c r="I24" s="446"/>
      <c r="J24" s="446"/>
      <c r="K24" s="446"/>
      <c r="L24" s="446"/>
      <c r="M24" s="446"/>
      <c r="N24" s="446"/>
      <c r="O24" s="446"/>
      <c r="P24" s="446"/>
      <c r="Q24" s="446"/>
    </row>
    <row r="25" spans="2:17">
      <c r="B25" s="446"/>
      <c r="C25" s="446"/>
      <c r="D25" s="446"/>
      <c r="E25" s="446"/>
      <c r="F25" s="446"/>
      <c r="G25" s="446"/>
      <c r="H25" s="446"/>
      <c r="I25" s="446"/>
      <c r="J25" s="446"/>
      <c r="K25" s="446"/>
      <c r="L25" s="446"/>
      <c r="M25" s="446"/>
      <c r="N25" s="446"/>
      <c r="O25" s="446"/>
      <c r="P25" s="446"/>
      <c r="Q25" s="446"/>
    </row>
    <row r="26" spans="2:17">
      <c r="B26" s="446"/>
      <c r="C26" s="446"/>
      <c r="D26" s="446"/>
      <c r="E26" s="446"/>
      <c r="F26" s="446"/>
      <c r="G26" s="446"/>
      <c r="H26" s="446"/>
      <c r="I26" s="446"/>
      <c r="J26" s="446"/>
      <c r="K26" s="446"/>
      <c r="L26" s="446"/>
      <c r="M26" s="446"/>
      <c r="N26" s="446"/>
      <c r="O26" s="446"/>
      <c r="P26" s="446"/>
      <c r="Q26" s="446"/>
    </row>
    <row r="27" spans="2:17">
      <c r="B27" s="446"/>
      <c r="C27" s="446"/>
      <c r="D27" s="446"/>
      <c r="E27" s="446"/>
      <c r="F27" s="446"/>
      <c r="G27" s="446"/>
      <c r="H27" s="446"/>
      <c r="I27" s="446"/>
      <c r="J27" s="446"/>
      <c r="K27" s="446"/>
      <c r="L27" s="446"/>
      <c r="M27" s="446"/>
      <c r="N27" s="446"/>
      <c r="O27" s="446"/>
      <c r="P27" s="446"/>
      <c r="Q27" s="446"/>
    </row>
    <row r="28" spans="2:17">
      <c r="B28" s="446"/>
      <c r="C28" s="446"/>
      <c r="D28" s="446"/>
      <c r="E28" s="446"/>
      <c r="F28" s="446"/>
      <c r="G28" s="446"/>
      <c r="H28" s="446"/>
      <c r="I28" s="446"/>
      <c r="J28" s="446"/>
      <c r="K28" s="446"/>
      <c r="L28" s="446"/>
      <c r="M28" s="446"/>
      <c r="N28" s="446"/>
      <c r="O28" s="446"/>
      <c r="P28" s="446"/>
      <c r="Q28" s="446"/>
    </row>
    <row r="29" spans="2:17">
      <c r="B29" s="446"/>
      <c r="C29" s="446"/>
      <c r="D29" s="446"/>
      <c r="E29" s="446"/>
      <c r="F29" s="446"/>
      <c r="G29" s="446"/>
      <c r="H29" s="446"/>
      <c r="I29" s="446"/>
      <c r="J29" s="446"/>
      <c r="K29" s="446"/>
      <c r="L29" s="446"/>
      <c r="M29" s="446"/>
      <c r="N29" s="446"/>
      <c r="O29" s="446"/>
      <c r="P29" s="446"/>
      <c r="Q29" s="446"/>
    </row>
    <row r="30" spans="2:17">
      <c r="B30" s="446"/>
      <c r="C30" s="446"/>
      <c r="D30" s="446"/>
      <c r="E30" s="446"/>
      <c r="F30" s="446"/>
      <c r="G30" s="446"/>
      <c r="H30" s="446"/>
      <c r="I30" s="446"/>
      <c r="J30" s="446"/>
      <c r="K30" s="446"/>
      <c r="L30" s="446"/>
      <c r="M30" s="446"/>
      <c r="N30" s="446"/>
      <c r="O30" s="446"/>
      <c r="P30" s="446"/>
      <c r="Q30" s="446"/>
    </row>
    <row r="31" spans="2:17">
      <c r="B31" s="446"/>
      <c r="C31" s="446"/>
      <c r="D31" s="446"/>
      <c r="E31" s="446"/>
      <c r="F31" s="446"/>
      <c r="G31" s="446"/>
      <c r="H31" s="446"/>
      <c r="I31" s="446"/>
      <c r="J31" s="446"/>
      <c r="K31" s="446"/>
      <c r="L31" s="446"/>
      <c r="M31" s="446"/>
      <c r="N31" s="446"/>
      <c r="O31" s="446"/>
      <c r="P31" s="446"/>
      <c r="Q31" s="446"/>
    </row>
    <row r="32" spans="2:17">
      <c r="B32" s="446"/>
      <c r="C32" s="446"/>
      <c r="D32" s="446"/>
      <c r="E32" s="446"/>
      <c r="F32" s="446"/>
      <c r="G32" s="446"/>
      <c r="H32" s="446"/>
      <c r="I32" s="446"/>
      <c r="J32" s="446"/>
      <c r="K32" s="446"/>
      <c r="L32" s="446"/>
      <c r="M32" s="446"/>
      <c r="N32" s="446"/>
      <c r="O32" s="446"/>
      <c r="P32" s="446"/>
      <c r="Q32" s="446"/>
    </row>
    <row r="33" spans="2:17">
      <c r="B33" s="446"/>
      <c r="C33" s="446"/>
      <c r="D33" s="446"/>
      <c r="E33" s="446"/>
      <c r="F33" s="446"/>
      <c r="G33" s="446"/>
      <c r="H33" s="446"/>
      <c r="I33" s="446"/>
      <c r="J33" s="446"/>
      <c r="K33" s="446"/>
      <c r="L33" s="446"/>
      <c r="M33" s="446"/>
      <c r="N33" s="446"/>
      <c r="O33" s="446"/>
      <c r="P33" s="446"/>
      <c r="Q33" s="446"/>
    </row>
    <row r="34" spans="2:17">
      <c r="B34" s="446"/>
      <c r="C34" s="446"/>
      <c r="D34" s="446"/>
      <c r="E34" s="446"/>
      <c r="F34" s="446"/>
      <c r="G34" s="446"/>
      <c r="H34" s="446"/>
      <c r="I34" s="446"/>
      <c r="J34" s="446"/>
      <c r="K34" s="446"/>
      <c r="L34" s="446"/>
      <c r="M34" s="446"/>
      <c r="N34" s="446"/>
      <c r="O34" s="446"/>
      <c r="P34" s="446"/>
      <c r="Q34" s="446"/>
    </row>
    <row r="35" spans="2:17">
      <c r="B35" s="446"/>
      <c r="C35" s="446"/>
      <c r="D35" s="446"/>
      <c r="E35" s="446"/>
      <c r="F35" s="446"/>
      <c r="G35" s="446"/>
      <c r="H35" s="446"/>
      <c r="I35" s="446"/>
      <c r="J35" s="446"/>
      <c r="K35" s="446"/>
      <c r="L35" s="446"/>
      <c r="M35" s="446"/>
      <c r="N35" s="446"/>
      <c r="O35" s="446"/>
      <c r="P35" s="446"/>
      <c r="Q35" s="446"/>
    </row>
    <row r="36" spans="2:17">
      <c r="B36" s="446"/>
      <c r="C36" s="446"/>
      <c r="D36" s="446"/>
      <c r="E36" s="446"/>
      <c r="F36" s="446"/>
      <c r="G36" s="446"/>
      <c r="H36" s="446"/>
      <c r="I36" s="446"/>
      <c r="J36" s="446"/>
      <c r="K36" s="446"/>
      <c r="L36" s="446"/>
      <c r="M36" s="446"/>
      <c r="N36" s="446"/>
      <c r="O36" s="446"/>
      <c r="P36" s="446"/>
      <c r="Q36" s="446"/>
    </row>
    <row r="37" spans="2:17">
      <c r="B37" s="446"/>
      <c r="C37" s="446"/>
      <c r="D37" s="446"/>
      <c r="E37" s="446"/>
      <c r="F37" s="446"/>
      <c r="G37" s="446"/>
      <c r="H37" s="446"/>
      <c r="I37" s="446"/>
      <c r="J37" s="446"/>
      <c r="K37" s="446"/>
      <c r="L37" s="446"/>
      <c r="M37" s="446"/>
      <c r="N37" s="446"/>
      <c r="O37" s="446"/>
      <c r="P37" s="446"/>
      <c r="Q37" s="446"/>
    </row>
    <row r="38" spans="2:17">
      <c r="B38" s="446"/>
      <c r="C38" s="446"/>
      <c r="D38" s="446"/>
      <c r="E38" s="446"/>
      <c r="F38" s="446"/>
      <c r="G38" s="446"/>
      <c r="H38" s="446"/>
      <c r="I38" s="446"/>
      <c r="J38" s="446"/>
      <c r="K38" s="446"/>
      <c r="L38" s="446"/>
      <c r="M38" s="446"/>
      <c r="N38" s="446"/>
      <c r="O38" s="446"/>
      <c r="P38" s="446"/>
      <c r="Q38" s="446"/>
    </row>
    <row r="39" spans="2:17">
      <c r="B39" s="446"/>
      <c r="C39" s="446"/>
      <c r="D39" s="446"/>
      <c r="E39" s="446"/>
      <c r="F39" s="446"/>
      <c r="G39" s="446"/>
      <c r="H39" s="446"/>
      <c r="I39" s="446"/>
      <c r="J39" s="446"/>
      <c r="K39" s="446"/>
      <c r="L39" s="446"/>
      <c r="M39" s="446"/>
      <c r="N39" s="446"/>
      <c r="O39" s="446"/>
      <c r="P39" s="446"/>
      <c r="Q39" s="446"/>
    </row>
    <row r="40" spans="2:17">
      <c r="B40" s="446"/>
      <c r="C40" s="446"/>
      <c r="D40" s="446"/>
      <c r="E40" s="446"/>
      <c r="F40" s="446"/>
      <c r="G40" s="446"/>
      <c r="H40" s="446"/>
      <c r="I40" s="446"/>
      <c r="J40" s="446"/>
      <c r="K40" s="446"/>
      <c r="L40" s="446"/>
      <c r="M40" s="446"/>
      <c r="N40" s="446"/>
      <c r="O40" s="446"/>
      <c r="P40" s="446"/>
      <c r="Q40" s="446"/>
    </row>
    <row r="41" spans="2:17">
      <c r="B41" s="446"/>
      <c r="C41" s="446"/>
      <c r="D41" s="446"/>
      <c r="E41" s="446"/>
      <c r="F41" s="446"/>
      <c r="G41" s="446"/>
      <c r="H41" s="446"/>
      <c r="I41" s="446"/>
      <c r="J41" s="446"/>
      <c r="K41" s="446"/>
      <c r="L41" s="446"/>
      <c r="M41" s="446"/>
      <c r="N41" s="446"/>
      <c r="O41" s="446"/>
      <c r="P41" s="446"/>
      <c r="Q41" s="446"/>
    </row>
    <row r="42" spans="2:17">
      <c r="B42" s="446"/>
      <c r="C42" s="446"/>
      <c r="D42" s="446"/>
      <c r="E42" s="446"/>
      <c r="F42" s="446"/>
      <c r="G42" s="446"/>
      <c r="H42" s="446"/>
      <c r="I42" s="446"/>
      <c r="J42" s="446"/>
      <c r="K42" s="446"/>
      <c r="L42" s="446"/>
      <c r="M42" s="446"/>
      <c r="N42" s="446"/>
      <c r="O42" s="446"/>
      <c r="P42" s="446"/>
      <c r="Q42" s="446"/>
    </row>
    <row r="43" spans="2:17">
      <c r="B43" s="446"/>
      <c r="C43" s="446"/>
      <c r="D43" s="446"/>
      <c r="E43" s="446"/>
      <c r="F43" s="446"/>
      <c r="G43" s="446"/>
      <c r="H43" s="446"/>
      <c r="I43" s="446"/>
      <c r="J43" s="446"/>
      <c r="K43" s="446"/>
      <c r="L43" s="446"/>
      <c r="M43" s="446"/>
      <c r="N43" s="446"/>
      <c r="O43" s="446"/>
      <c r="P43" s="446"/>
      <c r="Q43" s="446"/>
    </row>
    <row r="44" spans="2:17">
      <c r="B44" s="446"/>
      <c r="C44" s="446"/>
      <c r="D44" s="446"/>
      <c r="E44" s="446"/>
      <c r="F44" s="446"/>
      <c r="G44" s="446"/>
      <c r="H44" s="446"/>
      <c r="I44" s="446"/>
      <c r="J44" s="446"/>
      <c r="K44" s="446"/>
      <c r="L44" s="446"/>
      <c r="M44" s="446"/>
      <c r="N44" s="446"/>
      <c r="O44" s="446"/>
      <c r="P44" s="446"/>
      <c r="Q44" s="446"/>
    </row>
    <row r="45" spans="2:17">
      <c r="B45" s="446"/>
      <c r="C45" s="446"/>
      <c r="D45" s="446"/>
      <c r="E45" s="446"/>
      <c r="F45" s="446"/>
      <c r="G45" s="446"/>
      <c r="H45" s="446"/>
      <c r="I45" s="446"/>
      <c r="J45" s="446"/>
      <c r="K45" s="446"/>
      <c r="L45" s="446"/>
      <c r="M45" s="446"/>
      <c r="N45" s="446"/>
      <c r="O45" s="446"/>
      <c r="P45" s="446"/>
      <c r="Q45" s="446"/>
    </row>
    <row r="46" spans="2:17">
      <c r="B46" s="446"/>
      <c r="C46" s="446"/>
      <c r="D46" s="446"/>
      <c r="E46" s="446"/>
      <c r="F46" s="446"/>
      <c r="G46" s="446"/>
      <c r="H46" s="446"/>
      <c r="I46" s="446"/>
      <c r="J46" s="446"/>
      <c r="K46" s="446"/>
      <c r="L46" s="446"/>
      <c r="M46" s="446"/>
      <c r="N46" s="446"/>
      <c r="O46" s="446"/>
      <c r="P46" s="446"/>
      <c r="Q46" s="446"/>
    </row>
    <row r="47" spans="2:17">
      <c r="B47" s="446"/>
      <c r="C47" s="446"/>
      <c r="D47" s="446"/>
      <c r="E47" s="446"/>
      <c r="F47" s="446"/>
      <c r="G47" s="446"/>
      <c r="H47" s="446"/>
      <c r="I47" s="446"/>
      <c r="J47" s="446"/>
      <c r="K47" s="446"/>
      <c r="L47" s="446"/>
      <c r="M47" s="446"/>
      <c r="N47" s="446"/>
      <c r="O47" s="446"/>
      <c r="P47" s="446"/>
      <c r="Q47" s="446"/>
    </row>
    <row r="48" spans="2:17">
      <c r="B48" s="446"/>
      <c r="C48" s="446"/>
      <c r="D48" s="446"/>
      <c r="E48" s="446"/>
      <c r="F48" s="446"/>
      <c r="G48" s="446"/>
      <c r="H48" s="446"/>
      <c r="I48" s="446"/>
      <c r="J48" s="446"/>
      <c r="K48" s="446"/>
      <c r="L48" s="446"/>
      <c r="M48" s="446"/>
      <c r="N48" s="446"/>
      <c r="O48" s="446"/>
      <c r="P48" s="446"/>
      <c r="Q48" s="446"/>
    </row>
    <row r="49" spans="2:17">
      <c r="B49" s="446"/>
      <c r="C49" s="446"/>
      <c r="D49" s="446"/>
      <c r="E49" s="446"/>
      <c r="F49" s="446"/>
      <c r="G49" s="446"/>
      <c r="H49" s="446"/>
      <c r="I49" s="446"/>
      <c r="J49" s="446"/>
      <c r="K49" s="446"/>
      <c r="L49" s="446"/>
      <c r="M49" s="446"/>
      <c r="N49" s="446"/>
      <c r="O49" s="446"/>
      <c r="P49" s="446"/>
      <c r="Q49" s="446"/>
    </row>
    <row r="50" spans="2:17">
      <c r="B50" s="446"/>
      <c r="C50" s="446"/>
      <c r="D50" s="446"/>
      <c r="E50" s="446"/>
      <c r="F50" s="446"/>
      <c r="G50" s="446"/>
      <c r="H50" s="446"/>
      <c r="I50" s="446"/>
      <c r="J50" s="446"/>
      <c r="K50" s="446"/>
      <c r="L50" s="446"/>
      <c r="M50" s="446"/>
      <c r="N50" s="446"/>
      <c r="O50" s="446"/>
      <c r="P50" s="446"/>
      <c r="Q50" s="446"/>
    </row>
    <row r="51" spans="2:17">
      <c r="B51" s="446"/>
      <c r="C51" s="446"/>
      <c r="D51" s="446"/>
      <c r="E51" s="446"/>
      <c r="F51" s="446"/>
      <c r="G51" s="446"/>
      <c r="H51" s="446"/>
      <c r="I51" s="446"/>
      <c r="J51" s="446"/>
      <c r="K51" s="446"/>
      <c r="L51" s="446"/>
      <c r="M51" s="446"/>
      <c r="N51" s="446"/>
      <c r="O51" s="446"/>
      <c r="P51" s="446"/>
      <c r="Q51" s="446"/>
    </row>
    <row r="52" spans="2:17">
      <c r="B52" s="446"/>
      <c r="C52" s="446"/>
      <c r="D52" s="446"/>
      <c r="E52" s="446"/>
      <c r="F52" s="446"/>
      <c r="G52" s="446"/>
      <c r="H52" s="446"/>
      <c r="I52" s="446"/>
      <c r="J52" s="446"/>
      <c r="K52" s="446"/>
      <c r="L52" s="446"/>
      <c r="M52" s="446"/>
      <c r="N52" s="446"/>
      <c r="O52" s="446"/>
      <c r="P52" s="446"/>
      <c r="Q52" s="446"/>
    </row>
    <row r="53" spans="2:17">
      <c r="B53" s="446"/>
      <c r="C53" s="446"/>
      <c r="D53" s="446"/>
      <c r="E53" s="446"/>
      <c r="F53" s="446"/>
      <c r="G53" s="446"/>
      <c r="H53" s="446"/>
      <c r="I53" s="446"/>
      <c r="J53" s="446"/>
      <c r="K53" s="446"/>
      <c r="L53" s="446"/>
      <c r="M53" s="446"/>
      <c r="N53" s="446"/>
      <c r="O53" s="446"/>
      <c r="P53" s="446"/>
      <c r="Q53" s="446"/>
    </row>
    <row r="54" spans="2:17">
      <c r="B54" s="446"/>
      <c r="C54" s="446"/>
      <c r="D54" s="446"/>
      <c r="E54" s="446"/>
      <c r="F54" s="446"/>
      <c r="G54" s="446"/>
      <c r="H54" s="446"/>
      <c r="I54" s="446"/>
      <c r="J54" s="446"/>
      <c r="K54" s="446"/>
      <c r="L54" s="446"/>
      <c r="M54" s="446"/>
      <c r="N54" s="446"/>
      <c r="O54" s="446"/>
      <c r="P54" s="446"/>
      <c r="Q54" s="446"/>
    </row>
    <row r="55" spans="2:17">
      <c r="B55" s="446"/>
      <c r="C55" s="446"/>
      <c r="D55" s="446"/>
      <c r="E55" s="446"/>
      <c r="F55" s="446"/>
      <c r="G55" s="446"/>
      <c r="H55" s="446"/>
      <c r="I55" s="446"/>
      <c r="J55" s="446"/>
      <c r="K55" s="446"/>
      <c r="L55" s="446"/>
      <c r="M55" s="446"/>
      <c r="N55" s="446"/>
      <c r="O55" s="446"/>
      <c r="P55" s="446"/>
      <c r="Q55" s="446"/>
    </row>
    <row r="56" spans="2:17">
      <c r="B56" s="446"/>
      <c r="C56" s="446"/>
      <c r="D56" s="446"/>
      <c r="E56" s="446"/>
      <c r="F56" s="446"/>
      <c r="G56" s="446"/>
      <c r="H56" s="446"/>
      <c r="I56" s="446"/>
      <c r="J56" s="446"/>
      <c r="K56" s="446"/>
      <c r="L56" s="446"/>
      <c r="M56" s="446"/>
      <c r="N56" s="446"/>
      <c r="O56" s="446"/>
      <c r="P56" s="446"/>
      <c r="Q56" s="446"/>
    </row>
    <row r="57" spans="2:17">
      <c r="B57" s="446"/>
      <c r="C57" s="446"/>
      <c r="D57" s="446"/>
      <c r="E57" s="446"/>
      <c r="F57" s="446"/>
      <c r="G57" s="446"/>
      <c r="H57" s="446"/>
      <c r="I57" s="446"/>
      <c r="J57" s="446"/>
      <c r="K57" s="446"/>
      <c r="L57" s="446"/>
      <c r="M57" s="446"/>
      <c r="N57" s="446"/>
      <c r="O57" s="446"/>
      <c r="P57" s="446"/>
      <c r="Q57" s="446"/>
    </row>
    <row r="58" spans="2:17">
      <c r="B58" s="446"/>
      <c r="C58" s="446"/>
      <c r="D58" s="446"/>
      <c r="E58" s="446"/>
      <c r="F58" s="446"/>
      <c r="G58" s="446"/>
      <c r="H58" s="446"/>
      <c r="I58" s="446"/>
      <c r="J58" s="446"/>
      <c r="K58" s="446"/>
      <c r="L58" s="446"/>
      <c r="M58" s="446"/>
      <c r="N58" s="446"/>
      <c r="O58" s="446"/>
      <c r="P58" s="446"/>
      <c r="Q58" s="446"/>
    </row>
    <row r="59" spans="2:17">
      <c r="B59" s="446"/>
      <c r="C59" s="446"/>
      <c r="D59" s="446"/>
      <c r="E59" s="446"/>
      <c r="F59" s="446"/>
      <c r="G59" s="446"/>
      <c r="H59" s="446"/>
      <c r="I59" s="446"/>
      <c r="J59" s="446"/>
      <c r="K59" s="446"/>
      <c r="L59" s="446"/>
      <c r="M59" s="446"/>
      <c r="N59" s="446"/>
      <c r="O59" s="446"/>
      <c r="P59" s="446"/>
      <c r="Q59" s="446"/>
    </row>
    <row r="60" spans="2:17">
      <c r="B60" s="446"/>
      <c r="C60" s="446"/>
      <c r="D60" s="446"/>
      <c r="E60" s="446"/>
      <c r="F60" s="446"/>
      <c r="G60" s="446"/>
      <c r="H60" s="446"/>
      <c r="I60" s="446"/>
      <c r="J60" s="446"/>
      <c r="K60" s="446"/>
      <c r="L60" s="446"/>
      <c r="M60" s="446"/>
      <c r="N60" s="446"/>
      <c r="O60" s="446"/>
      <c r="P60" s="446"/>
      <c r="Q60" s="446"/>
    </row>
    <row r="61" spans="2:17">
      <c r="B61" s="446"/>
      <c r="C61" s="446"/>
      <c r="D61" s="446"/>
      <c r="E61" s="446"/>
      <c r="F61" s="446"/>
      <c r="G61" s="446"/>
      <c r="H61" s="446"/>
      <c r="I61" s="446"/>
      <c r="J61" s="446"/>
      <c r="K61" s="446"/>
      <c r="L61" s="446"/>
      <c r="M61" s="446"/>
      <c r="N61" s="446"/>
      <c r="O61" s="446"/>
      <c r="P61" s="446"/>
      <c r="Q61" s="446"/>
    </row>
    <row r="62" spans="2:17">
      <c r="B62" s="446"/>
      <c r="C62" s="446"/>
      <c r="D62" s="446"/>
      <c r="E62" s="446"/>
      <c r="F62" s="446"/>
      <c r="G62" s="446"/>
      <c r="H62" s="446"/>
      <c r="I62" s="446"/>
      <c r="J62" s="446"/>
      <c r="K62" s="446"/>
      <c r="L62" s="446"/>
      <c r="M62" s="446"/>
      <c r="N62" s="446"/>
      <c r="O62" s="446"/>
      <c r="P62" s="446"/>
      <c r="Q62" s="446"/>
    </row>
    <row r="63" spans="2:17">
      <c r="B63" s="446"/>
      <c r="C63" s="446"/>
      <c r="D63" s="446"/>
      <c r="E63" s="446"/>
      <c r="F63" s="446"/>
      <c r="G63" s="446"/>
      <c r="H63" s="446"/>
      <c r="I63" s="446"/>
      <c r="J63" s="446"/>
      <c r="K63" s="446"/>
      <c r="L63" s="446"/>
      <c r="M63" s="446"/>
      <c r="N63" s="446"/>
      <c r="O63" s="446"/>
      <c r="P63" s="446"/>
      <c r="Q63" s="446"/>
    </row>
    <row r="64" spans="2:17">
      <c r="B64" s="446"/>
      <c r="C64" s="446"/>
      <c r="D64" s="446"/>
      <c r="E64" s="446"/>
      <c r="F64" s="446"/>
      <c r="G64" s="446"/>
      <c r="H64" s="446"/>
      <c r="I64" s="446"/>
      <c r="J64" s="446"/>
      <c r="K64" s="446"/>
      <c r="L64" s="446"/>
      <c r="M64" s="446"/>
      <c r="N64" s="446"/>
      <c r="O64" s="446"/>
      <c r="P64" s="446"/>
      <c r="Q64" s="446"/>
    </row>
    <row r="65" spans="2:17">
      <c r="B65" s="446"/>
      <c r="C65" s="446"/>
      <c r="D65" s="446"/>
      <c r="E65" s="446"/>
      <c r="F65" s="446"/>
      <c r="G65" s="446"/>
      <c r="H65" s="446"/>
      <c r="I65" s="446"/>
      <c r="J65" s="446"/>
      <c r="K65" s="446"/>
      <c r="L65" s="446"/>
      <c r="M65" s="446"/>
      <c r="N65" s="446"/>
      <c r="O65" s="446"/>
      <c r="P65" s="446"/>
      <c r="Q65" s="446"/>
    </row>
    <row r="66" spans="2:17">
      <c r="B66" s="446"/>
      <c r="C66" s="446"/>
      <c r="D66" s="446"/>
      <c r="E66" s="446"/>
      <c r="F66" s="446"/>
      <c r="G66" s="446"/>
      <c r="H66" s="446"/>
      <c r="I66" s="446"/>
      <c r="J66" s="446"/>
      <c r="K66" s="446"/>
      <c r="L66" s="446"/>
      <c r="M66" s="446"/>
      <c r="N66" s="446"/>
      <c r="O66" s="446"/>
      <c r="P66" s="446"/>
      <c r="Q66" s="446"/>
    </row>
    <row r="67" spans="2:17">
      <c r="B67" s="446"/>
      <c r="C67" s="446"/>
      <c r="D67" s="446"/>
      <c r="E67" s="446"/>
      <c r="F67" s="446"/>
      <c r="G67" s="446"/>
      <c r="H67" s="446"/>
      <c r="I67" s="446"/>
      <c r="J67" s="446"/>
      <c r="K67" s="446"/>
      <c r="L67" s="446"/>
      <c r="M67" s="446"/>
      <c r="N67" s="446"/>
      <c r="O67" s="446"/>
      <c r="P67" s="446"/>
      <c r="Q67" s="446"/>
    </row>
    <row r="68" spans="2:17">
      <c r="B68" s="446"/>
      <c r="C68" s="446"/>
      <c r="D68" s="446"/>
      <c r="E68" s="446"/>
      <c r="F68" s="446"/>
      <c r="G68" s="446"/>
      <c r="H68" s="446"/>
      <c r="I68" s="446"/>
      <c r="J68" s="446"/>
      <c r="K68" s="446"/>
      <c r="L68" s="446"/>
      <c r="M68" s="446"/>
      <c r="N68" s="446"/>
      <c r="O68" s="446"/>
      <c r="P68" s="446"/>
      <c r="Q68" s="446"/>
    </row>
    <row r="69" spans="2:17">
      <c r="B69" s="446"/>
      <c r="C69" s="446"/>
      <c r="D69" s="446"/>
      <c r="E69" s="446"/>
      <c r="F69" s="446"/>
      <c r="G69" s="446"/>
      <c r="H69" s="446"/>
      <c r="I69" s="446"/>
      <c r="J69" s="446"/>
      <c r="K69" s="446"/>
      <c r="L69" s="446"/>
      <c r="M69" s="446"/>
      <c r="N69" s="446"/>
      <c r="O69" s="446"/>
      <c r="P69" s="446"/>
      <c r="Q69" s="446"/>
    </row>
    <row r="70" spans="2:17">
      <c r="B70" s="446"/>
      <c r="C70" s="446"/>
      <c r="D70" s="446"/>
      <c r="E70" s="446"/>
      <c r="F70" s="446"/>
      <c r="G70" s="446"/>
      <c r="H70" s="446"/>
      <c r="I70" s="446"/>
      <c r="J70" s="446"/>
      <c r="K70" s="446"/>
      <c r="L70" s="446"/>
      <c r="M70" s="446"/>
      <c r="N70" s="446"/>
      <c r="O70" s="446"/>
      <c r="P70" s="446"/>
      <c r="Q70" s="446"/>
    </row>
    <row r="71" spans="2:17">
      <c r="B71" s="446"/>
      <c r="C71" s="446"/>
      <c r="D71" s="446"/>
      <c r="E71" s="446"/>
      <c r="F71" s="446"/>
      <c r="G71" s="446"/>
      <c r="H71" s="446"/>
      <c r="I71" s="446"/>
      <c r="J71" s="446"/>
      <c r="K71" s="446"/>
      <c r="L71" s="446"/>
      <c r="M71" s="446"/>
      <c r="N71" s="446"/>
      <c r="O71" s="446"/>
      <c r="P71" s="446"/>
      <c r="Q71" s="446"/>
    </row>
    <row r="72" spans="2:17">
      <c r="B72" s="446"/>
      <c r="C72" s="446"/>
      <c r="D72" s="446"/>
      <c r="E72" s="446"/>
      <c r="F72" s="446"/>
      <c r="G72" s="446"/>
      <c r="H72" s="446"/>
      <c r="I72" s="446"/>
      <c r="J72" s="446"/>
      <c r="K72" s="446"/>
      <c r="L72" s="446"/>
      <c r="M72" s="446"/>
      <c r="N72" s="446"/>
      <c r="O72" s="446"/>
      <c r="P72" s="446"/>
      <c r="Q72" s="446"/>
    </row>
    <row r="73" spans="2:17">
      <c r="B73" s="446"/>
      <c r="C73" s="446"/>
      <c r="D73" s="446"/>
      <c r="E73" s="446"/>
      <c r="F73" s="446"/>
      <c r="G73" s="446"/>
      <c r="H73" s="446"/>
      <c r="I73" s="446"/>
      <c r="J73" s="446"/>
      <c r="K73" s="446"/>
      <c r="L73" s="446"/>
      <c r="M73" s="446"/>
      <c r="N73" s="446"/>
      <c r="O73" s="446"/>
      <c r="P73" s="446"/>
      <c r="Q73" s="446"/>
    </row>
    <row r="74" spans="2:17">
      <c r="B74" s="446"/>
      <c r="C74" s="446"/>
      <c r="D74" s="447"/>
      <c r="E74" s="448"/>
      <c r="F74" s="447"/>
      <c r="G74" s="446"/>
      <c r="H74" s="446"/>
      <c r="I74" s="446"/>
      <c r="J74" s="446"/>
      <c r="K74" s="446"/>
      <c r="L74" s="446"/>
      <c r="M74" s="446"/>
      <c r="N74" s="446"/>
      <c r="O74" s="446"/>
      <c r="P74" s="446"/>
      <c r="Q74" s="446"/>
    </row>
    <row r="75" spans="2:17">
      <c r="B75" s="446"/>
      <c r="C75" s="446"/>
      <c r="D75" s="447"/>
      <c r="E75" s="448"/>
      <c r="F75" s="447"/>
      <c r="G75" s="446"/>
      <c r="H75" s="446"/>
      <c r="I75" s="446"/>
      <c r="J75" s="446"/>
      <c r="K75" s="446"/>
      <c r="L75" s="446"/>
      <c r="M75" s="446"/>
      <c r="N75" s="446"/>
      <c r="O75" s="446"/>
      <c r="P75" s="446"/>
      <c r="Q75" s="446"/>
    </row>
    <row r="76" spans="2:17">
      <c r="B76" s="446"/>
      <c r="C76" s="446"/>
      <c r="D76" s="447"/>
      <c r="E76" s="448"/>
      <c r="F76" s="447"/>
      <c r="G76" s="446"/>
      <c r="H76" s="446"/>
      <c r="I76" s="446"/>
      <c r="J76" s="446"/>
      <c r="K76" s="446"/>
      <c r="L76" s="446"/>
      <c r="M76" s="446"/>
      <c r="N76" s="446"/>
      <c r="O76" s="446"/>
      <c r="P76" s="446"/>
      <c r="Q76" s="446"/>
    </row>
    <row r="77" spans="2:17">
      <c r="B77" s="446"/>
      <c r="C77" s="446"/>
      <c r="D77" s="447"/>
      <c r="E77" s="448"/>
      <c r="F77" s="447"/>
      <c r="G77" s="446"/>
      <c r="H77" s="446"/>
      <c r="I77" s="446"/>
      <c r="J77" s="446"/>
      <c r="K77" s="446"/>
      <c r="L77" s="446"/>
      <c r="M77" s="446"/>
      <c r="N77" s="446"/>
      <c r="O77" s="446"/>
      <c r="P77" s="446"/>
      <c r="Q77" s="446"/>
    </row>
    <row r="78" spans="2:17">
      <c r="B78" s="446"/>
      <c r="C78" s="446"/>
      <c r="D78" s="447"/>
      <c r="E78" s="448"/>
      <c r="F78" s="447"/>
      <c r="G78" s="446"/>
      <c r="H78" s="446"/>
      <c r="I78" s="446"/>
      <c r="J78" s="446"/>
      <c r="K78" s="446"/>
      <c r="L78" s="446"/>
      <c r="M78" s="446"/>
      <c r="N78" s="446"/>
      <c r="O78" s="446"/>
      <c r="P78" s="446"/>
      <c r="Q78" s="446"/>
    </row>
    <row r="79" spans="2:17">
      <c r="B79" s="446"/>
      <c r="C79" s="446"/>
      <c r="D79" s="447"/>
      <c r="E79" s="448"/>
      <c r="F79" s="447"/>
      <c r="G79" s="446"/>
      <c r="H79" s="446"/>
      <c r="I79" s="446"/>
      <c r="J79" s="446"/>
      <c r="K79" s="446"/>
      <c r="L79" s="446"/>
      <c r="M79" s="446"/>
      <c r="N79" s="446"/>
      <c r="O79" s="446"/>
      <c r="P79" s="446"/>
      <c r="Q79" s="446"/>
    </row>
    <row r="80" spans="2:17">
      <c r="B80" s="446"/>
      <c r="C80" s="446"/>
      <c r="D80" s="447"/>
      <c r="E80" s="448"/>
      <c r="F80" s="447"/>
      <c r="G80" s="446"/>
      <c r="H80" s="446"/>
      <c r="I80" s="446"/>
      <c r="J80" s="446"/>
      <c r="K80" s="446"/>
      <c r="L80" s="446"/>
      <c r="M80" s="446"/>
      <c r="N80" s="446"/>
      <c r="O80" s="446"/>
      <c r="P80" s="446"/>
      <c r="Q80" s="446"/>
    </row>
    <row r="81" spans="2:17">
      <c r="B81" s="446"/>
      <c r="C81" s="446"/>
      <c r="D81" s="447"/>
      <c r="E81" s="448"/>
      <c r="F81" s="447"/>
      <c r="G81" s="446"/>
      <c r="H81" s="446"/>
      <c r="I81" s="446"/>
      <c r="J81" s="446"/>
      <c r="K81" s="446"/>
      <c r="L81" s="446"/>
      <c r="M81" s="446"/>
      <c r="N81" s="446"/>
      <c r="O81" s="446"/>
      <c r="P81" s="446"/>
      <c r="Q81" s="446"/>
    </row>
    <row r="82" spans="2:17">
      <c r="B82" s="446"/>
      <c r="C82" s="446"/>
      <c r="D82" s="447"/>
      <c r="E82" s="448"/>
      <c r="F82" s="447"/>
      <c r="G82" s="446"/>
      <c r="H82" s="446"/>
      <c r="I82" s="446"/>
      <c r="J82" s="446"/>
      <c r="K82" s="446"/>
      <c r="L82" s="446"/>
      <c r="M82" s="446"/>
      <c r="N82" s="446"/>
      <c r="O82" s="446"/>
      <c r="P82" s="446"/>
      <c r="Q82" s="446"/>
    </row>
    <row r="83" spans="2:17">
      <c r="B83" s="446"/>
      <c r="C83" s="446"/>
      <c r="D83" s="447"/>
      <c r="E83" s="448"/>
      <c r="F83" s="447"/>
      <c r="G83" s="446"/>
      <c r="H83" s="446"/>
      <c r="I83" s="446"/>
      <c r="J83" s="446"/>
      <c r="K83" s="446"/>
      <c r="L83" s="446"/>
      <c r="M83" s="446"/>
      <c r="N83" s="446"/>
      <c r="O83" s="446"/>
      <c r="P83" s="446"/>
      <c r="Q83" s="446"/>
    </row>
    <row r="84" spans="2:17">
      <c r="B84" s="446"/>
      <c r="C84" s="446"/>
      <c r="D84" s="447"/>
      <c r="E84" s="448"/>
      <c r="F84" s="447"/>
      <c r="G84" s="446"/>
      <c r="H84" s="446"/>
      <c r="I84" s="446"/>
      <c r="J84" s="446"/>
      <c r="K84" s="446"/>
      <c r="L84" s="446"/>
      <c r="M84" s="446"/>
      <c r="N84" s="446"/>
      <c r="O84" s="446"/>
      <c r="P84" s="446"/>
      <c r="Q84" s="446"/>
    </row>
    <row r="85" spans="2:17">
      <c r="B85" s="446"/>
      <c r="C85" s="446"/>
      <c r="D85" s="447"/>
      <c r="E85" s="448"/>
      <c r="F85" s="447"/>
      <c r="G85" s="446"/>
      <c r="H85" s="446"/>
      <c r="I85" s="446"/>
      <c r="J85" s="446"/>
      <c r="K85" s="446"/>
      <c r="L85" s="446"/>
      <c r="M85" s="446"/>
      <c r="N85" s="446"/>
      <c r="O85" s="446"/>
      <c r="P85" s="446"/>
      <c r="Q85" s="446"/>
    </row>
    <row r="86" spans="2:17">
      <c r="B86" s="446"/>
      <c r="C86" s="446"/>
      <c r="D86" s="447"/>
      <c r="E86" s="448"/>
      <c r="F86" s="447"/>
      <c r="G86" s="446"/>
      <c r="H86" s="446"/>
      <c r="I86" s="446"/>
      <c r="J86" s="446"/>
      <c r="K86" s="446"/>
      <c r="L86" s="446"/>
      <c r="M86" s="446"/>
      <c r="N86" s="446"/>
      <c r="O86" s="446"/>
      <c r="P86" s="446"/>
      <c r="Q86" s="446"/>
    </row>
    <row r="87" spans="2:17">
      <c r="B87" s="446"/>
      <c r="C87" s="446"/>
      <c r="D87" s="447"/>
      <c r="E87" s="448"/>
      <c r="F87" s="447"/>
      <c r="G87" s="446"/>
      <c r="H87" s="446"/>
      <c r="I87" s="446"/>
      <c r="J87" s="446"/>
      <c r="K87" s="446"/>
      <c r="L87" s="446"/>
      <c r="M87" s="446"/>
      <c r="N87" s="446"/>
      <c r="O87" s="446"/>
      <c r="P87" s="446"/>
      <c r="Q87" s="446"/>
    </row>
    <row r="88" spans="2:17">
      <c r="B88" s="446"/>
      <c r="C88" s="446"/>
      <c r="D88" s="447"/>
      <c r="E88" s="448"/>
      <c r="F88" s="447"/>
      <c r="G88" s="446"/>
      <c r="H88" s="446"/>
      <c r="I88" s="446"/>
      <c r="J88" s="446"/>
      <c r="K88" s="446"/>
      <c r="L88" s="446"/>
      <c r="M88" s="446"/>
      <c r="N88" s="446"/>
      <c r="O88" s="446"/>
      <c r="P88" s="446"/>
      <c r="Q88" s="446"/>
    </row>
    <row r="89" spans="2:17">
      <c r="B89" s="446"/>
      <c r="C89" s="446"/>
      <c r="D89" s="447"/>
      <c r="E89" s="448"/>
      <c r="F89" s="447"/>
      <c r="G89" s="446"/>
      <c r="H89" s="446"/>
      <c r="I89" s="446"/>
      <c r="J89" s="446"/>
      <c r="K89" s="446"/>
      <c r="L89" s="446"/>
      <c r="M89" s="446"/>
      <c r="N89" s="446"/>
      <c r="O89" s="446"/>
      <c r="P89" s="446"/>
      <c r="Q89" s="446"/>
    </row>
    <row r="90" spans="2:17">
      <c r="B90" s="446"/>
      <c r="C90" s="446"/>
      <c r="D90" s="447"/>
      <c r="E90" s="448"/>
      <c r="F90" s="447"/>
      <c r="G90" s="446"/>
      <c r="H90" s="446"/>
      <c r="I90" s="446"/>
      <c r="J90" s="446"/>
      <c r="K90" s="446"/>
      <c r="L90" s="446"/>
      <c r="M90" s="446"/>
      <c r="N90" s="446"/>
      <c r="O90" s="446"/>
      <c r="P90" s="446"/>
      <c r="Q90" s="446"/>
    </row>
    <row r="91" spans="2:17">
      <c r="B91" s="446"/>
      <c r="C91" s="446"/>
      <c r="D91" s="447"/>
      <c r="E91" s="448"/>
      <c r="F91" s="447"/>
      <c r="G91" s="446"/>
      <c r="H91" s="446"/>
      <c r="I91" s="446"/>
      <c r="J91" s="446"/>
      <c r="K91" s="446"/>
      <c r="L91" s="446"/>
      <c r="M91" s="446"/>
      <c r="N91" s="446"/>
      <c r="O91" s="446"/>
      <c r="P91" s="446"/>
      <c r="Q91" s="446"/>
    </row>
    <row r="92" spans="2:17" ht="18.75">
      <c r="B92" s="446"/>
      <c r="C92" s="1003" t="s">
        <v>99</v>
      </c>
      <c r="D92" s="1003"/>
      <c r="E92" s="449"/>
      <c r="F92" s="1003" t="s">
        <v>177</v>
      </c>
      <c r="G92" s="1003"/>
      <c r="H92" s="446"/>
      <c r="I92" s="1003" t="s">
        <v>178</v>
      </c>
      <c r="J92" s="1003"/>
      <c r="K92" s="449"/>
      <c r="L92" s="1004" t="s">
        <v>156</v>
      </c>
      <c r="M92" s="1005"/>
      <c r="N92" s="449"/>
      <c r="O92" s="1004" t="s">
        <v>179</v>
      </c>
      <c r="P92" s="1005"/>
      <c r="Q92" s="446"/>
    </row>
    <row r="93" spans="2:17">
      <c r="B93" s="446"/>
      <c r="C93" s="450" t="s">
        <v>165</v>
      </c>
      <c r="D93" s="450" t="s">
        <v>40</v>
      </c>
      <c r="E93" s="451"/>
      <c r="F93" s="450" t="s">
        <v>165</v>
      </c>
      <c r="G93" s="450" t="s">
        <v>40</v>
      </c>
      <c r="H93" s="446"/>
      <c r="I93" s="450" t="s">
        <v>165</v>
      </c>
      <c r="J93" s="450" t="s">
        <v>40</v>
      </c>
      <c r="K93" s="451"/>
      <c r="L93" s="450" t="s">
        <v>165</v>
      </c>
      <c r="M93" s="450" t="s">
        <v>40</v>
      </c>
      <c r="N93" s="451"/>
      <c r="O93" s="450" t="s">
        <v>165</v>
      </c>
      <c r="P93" s="450" t="s">
        <v>40</v>
      </c>
      <c r="Q93" s="446"/>
    </row>
    <row r="94" spans="2:17">
      <c r="B94" s="446"/>
      <c r="C94" s="452">
        <v>0</v>
      </c>
      <c r="D94" s="452">
        <f>IF(C94&lt;='B1b '!$G$35,'B1b '!$H$35,IF(AND(C94&lt;='B1b '!$G$34,C94&gt;'B1b '!$G$35),0+(('B1b '!$H$35-'B1b '!$H$34)/('B1b '!$G$35-'B1b '!$G$34))*(C94-'B1b '!$G$34),0))</f>
        <v>40</v>
      </c>
      <c r="E94" s="486"/>
      <c r="F94" s="452">
        <v>0</v>
      </c>
      <c r="G94" s="452">
        <f>IF(F94&lt;='B1b '!$G$37,'B1b '!$H$37,IF(AND(F94&lt;='B1b '!$G$36,F94&gt;'B1b '!$G$37),0+(('B1b '!$H$37-'B1b '!$H$36)/('B1b '!$G$37-'B1b '!$G$36))*(F94-'B1b '!$G$36),0))</f>
        <v>50</v>
      </c>
      <c r="H94" s="448"/>
      <c r="I94" s="452">
        <v>0</v>
      </c>
      <c r="J94" s="452">
        <f>IF(I94&lt;='B1b '!$G$39,'B1b '!$H$39,IF(AND(I94&lt;='B1b '!$G$38,I94&gt;'B1b '!$G$39),0+(('B1b '!$H$39-'B1b '!$H$38)/('B1b '!$G$39-'B1b '!$G$38))*(I94-'B1b '!$G$38),0))</f>
        <v>45</v>
      </c>
      <c r="K94" s="486"/>
      <c r="L94" s="452">
        <v>0</v>
      </c>
      <c r="M94" s="452">
        <f>IF(L94&lt;='B1b '!$G$41,'B1b '!$H$41,IF(AND(L94&lt;='B1b '!$G$40,L94&gt;'B1b '!$G$41),0+(('B1b '!$H$41-'B1b '!$H$40)/('B1b '!$G$41-'B1b '!$G$40))*(L94-'B1b '!$G$40),0))</f>
        <v>120</v>
      </c>
      <c r="N94" s="486"/>
      <c r="O94" s="452">
        <v>0</v>
      </c>
      <c r="P94" s="452">
        <f>IF(O94&lt;='B1b '!$G$43,'B1b '!$H$43,IF(AND(O94&lt;='B1b '!$G$42,O94&gt;'B1b '!$G$43),0+(('B1b '!$H$43-'B1b '!$H$42)/('B1b '!$G$43-'B1b '!$G$42))*(O94-'B1b '!$G$42),0))</f>
        <v>135</v>
      </c>
      <c r="Q94" s="446"/>
    </row>
    <row r="95" spans="2:17">
      <c r="B95" s="446"/>
      <c r="C95" s="452">
        <v>1</v>
      </c>
      <c r="D95" s="452">
        <f>IF(C95&lt;='B1b '!$G$35,'B1b '!$H$35,IF(AND(C95&lt;='B1b '!$G$34,C95&gt;'B1b '!$G$35),0+(('B1b '!$H$35-'B1b '!$H$34)/('B1b '!$G$35-'B1b '!$G$34))*(C95-'B1b '!$G$34),0))</f>
        <v>40</v>
      </c>
      <c r="E95" s="486"/>
      <c r="F95" s="452">
        <v>1</v>
      </c>
      <c r="G95" s="452">
        <f>IF(F95&lt;='B1b '!$G$37,'B1b '!$H$37,IF(AND(F95&lt;='B1b '!$G$36,F95&gt;'B1b '!$G$37),0+(('B1b '!$H$37-'B1b '!$H$36)/('B1b '!$G$37-'B1b '!$G$36))*(F95-'B1b '!$G$36),0))</f>
        <v>50</v>
      </c>
      <c r="H95" s="448"/>
      <c r="I95" s="452">
        <v>1</v>
      </c>
      <c r="J95" s="452">
        <f>IF(I95&lt;='B1b '!$G$39,'B1b '!$H$39,IF(AND(I95&lt;='B1b '!$G$38,I95&gt;'B1b '!$G$39),0+(('B1b '!$H$39-'B1b '!$H$38)/('B1b '!$G$39-'B1b '!$G$38))*(I95-'B1b '!$G$38),0))</f>
        <v>45</v>
      </c>
      <c r="K95" s="486"/>
      <c r="L95" s="452">
        <v>1</v>
      </c>
      <c r="M95" s="452">
        <f>IF(L95&lt;='B1b '!$G$41,'B1b '!$H$41,IF(AND(L95&lt;='B1b '!$G$40,L95&gt;'B1b '!$G$41),0+(('B1b '!$H$41-'B1b '!$H$40)/('B1b '!$G$41-'B1b '!$G$40))*(L95-'B1b '!$G$40),0))</f>
        <v>120</v>
      </c>
      <c r="N95" s="486"/>
      <c r="O95" s="452">
        <v>1</v>
      </c>
      <c r="P95" s="452">
        <f>IF(O95&lt;='B1b '!$G$43,'B1b '!$H$43,IF(AND(O95&lt;='B1b '!$G$42,O95&gt;'B1b '!$G$43),0+(('B1b '!$H$43-'B1b '!$H$42)/('B1b '!$G$43-'B1b '!$G$42))*(O95-'B1b '!$G$42),0))</f>
        <v>127.5</v>
      </c>
      <c r="Q95" s="446"/>
    </row>
    <row r="96" spans="2:17">
      <c r="B96" s="446"/>
      <c r="C96" s="452">
        <v>2</v>
      </c>
      <c r="D96" s="452">
        <f>IF(C96&lt;='B1b '!$G$35,'B1b '!$H$35,IF(AND(C96&lt;='B1b '!$G$34,C96&gt;'B1b '!$G$35),0+(('B1b '!$H$35-'B1b '!$H$34)/('B1b '!$G$35-'B1b '!$G$34))*(C96-'B1b '!$G$34),0))</f>
        <v>40</v>
      </c>
      <c r="E96" s="486"/>
      <c r="F96" s="452">
        <v>2</v>
      </c>
      <c r="G96" s="452">
        <f>IF(F96&lt;='B1b '!$G$37,'B1b '!$H$37,IF(AND(F96&lt;='B1b '!$G$36,F96&gt;'B1b '!$G$37),0+(('B1b '!$H$37-'B1b '!$H$36)/('B1b '!$G$37-'B1b '!$G$36))*(F96-'B1b '!$G$36),0))</f>
        <v>50</v>
      </c>
      <c r="H96" s="448"/>
      <c r="I96" s="452">
        <v>2</v>
      </c>
      <c r="J96" s="452">
        <f>IF(I96&lt;='B1b '!$G$39,'B1b '!$H$39,IF(AND(I96&lt;='B1b '!$G$38,I96&gt;'B1b '!$G$39),0+(('B1b '!$H$39-'B1b '!$H$38)/('B1b '!$G$39-'B1b '!$G$38))*(I96-'B1b '!$G$38),0))</f>
        <v>45</v>
      </c>
      <c r="K96" s="486"/>
      <c r="L96" s="452">
        <v>2</v>
      </c>
      <c r="M96" s="452">
        <f>IF(L96&lt;='B1b '!$G$41,'B1b '!$H$41,IF(AND(L96&lt;='B1b '!$G$40,L96&gt;'B1b '!$G$41),0+(('B1b '!$H$41-'B1b '!$H$40)/('B1b '!$G$41-'B1b '!$G$40))*(L96-'B1b '!$G$40),0))</f>
        <v>120</v>
      </c>
      <c r="N96" s="486"/>
      <c r="O96" s="452">
        <v>2</v>
      </c>
      <c r="P96" s="452">
        <f>IF(O96&lt;='B1b '!$G$43,'B1b '!$H$43,IF(AND(O96&lt;='B1b '!$G$42,O96&gt;'B1b '!$G$43),0+(('B1b '!$H$43-'B1b '!$H$42)/('B1b '!$G$43-'B1b '!$G$42))*(O96-'B1b '!$G$42),0))</f>
        <v>120</v>
      </c>
      <c r="Q96" s="446"/>
    </row>
    <row r="97" spans="2:17">
      <c r="B97" s="446"/>
      <c r="C97" s="452">
        <v>3</v>
      </c>
      <c r="D97" s="452">
        <f>IF(C97&lt;='B1b '!$G$35,'B1b '!$H$35,IF(AND(C97&lt;='B1b '!$G$34,C97&gt;'B1b '!$G$35),0+(('B1b '!$H$35-'B1b '!$H$34)/('B1b '!$G$35-'B1b '!$G$34))*(C97-'B1b '!$G$34),0))</f>
        <v>40</v>
      </c>
      <c r="E97" s="486"/>
      <c r="F97" s="452">
        <v>3</v>
      </c>
      <c r="G97" s="452">
        <f>IF(F97&lt;='B1b '!$G$37,'B1b '!$H$37,IF(AND(F97&lt;='B1b '!$G$36,F97&gt;'B1b '!$G$37),0+(('B1b '!$H$37-'B1b '!$H$36)/('B1b '!$G$37-'B1b '!$G$36))*(F97-'B1b '!$G$36),0))</f>
        <v>50</v>
      </c>
      <c r="H97" s="448"/>
      <c r="I97" s="452">
        <v>3</v>
      </c>
      <c r="J97" s="452">
        <f>IF(I97&lt;='B1b '!$G$39,'B1b '!$H$39,IF(AND(I97&lt;='B1b '!$G$38,I97&gt;'B1b '!$G$39),0+(('B1b '!$H$39-'B1b '!$H$38)/('B1b '!$G$39-'B1b '!$G$38))*(I97-'B1b '!$G$38),0))</f>
        <v>45</v>
      </c>
      <c r="K97" s="486"/>
      <c r="L97" s="452">
        <v>3</v>
      </c>
      <c r="M97" s="452">
        <f>IF(L97&lt;='B1b '!$G$41,'B1b '!$H$41,IF(AND(L97&lt;='B1b '!$G$40,L97&gt;'B1b '!$G$41),0+(('B1b '!$H$41-'B1b '!$H$40)/('B1b '!$G$41-'B1b '!$G$40))*(L97-'B1b '!$G$40),0))</f>
        <v>120</v>
      </c>
      <c r="N97" s="486"/>
      <c r="O97" s="452">
        <v>3</v>
      </c>
      <c r="P97" s="452">
        <f>IF(O97&lt;='B1b '!$G$43,'B1b '!$H$43,IF(AND(O97&lt;='B1b '!$G$42,O97&gt;'B1b '!$G$43),0+(('B1b '!$H$43-'B1b '!$H$42)/('B1b '!$G$43-'B1b '!$G$42))*(O97-'B1b '!$G$42),0))</f>
        <v>112.5</v>
      </c>
      <c r="Q97" s="446"/>
    </row>
    <row r="98" spans="2:17">
      <c r="B98" s="446"/>
      <c r="C98" s="452">
        <v>4</v>
      </c>
      <c r="D98" s="452">
        <f>IF(C98&lt;='B1b '!$G$35,'B1b '!$H$35,IF(AND(C98&lt;='B1b '!$G$34,C98&gt;'B1b '!$G$35),0+(('B1b '!$H$35-'B1b '!$H$34)/('B1b '!$G$35-'B1b '!$G$34))*(C98-'B1b '!$G$34),0))</f>
        <v>40</v>
      </c>
      <c r="E98" s="486"/>
      <c r="F98" s="452">
        <v>4</v>
      </c>
      <c r="G98" s="452">
        <f>IF(F98&lt;='B1b '!$G$37,'B1b '!$H$37,IF(AND(F98&lt;='B1b '!$G$36,F98&gt;'B1b '!$G$37),0+(('B1b '!$H$37-'B1b '!$H$36)/('B1b '!$G$37-'B1b '!$G$36))*(F98-'B1b '!$G$36),0))</f>
        <v>50</v>
      </c>
      <c r="H98" s="448"/>
      <c r="I98" s="452">
        <v>4</v>
      </c>
      <c r="J98" s="452">
        <f>IF(I98&lt;='B1b '!$G$39,'B1b '!$H$39,IF(AND(I98&lt;='B1b '!$G$38,I98&gt;'B1b '!$G$39),0+(('B1b '!$H$39-'B1b '!$H$38)/('B1b '!$G$39-'B1b '!$G$38))*(I98-'B1b '!$G$38),0))</f>
        <v>45</v>
      </c>
      <c r="K98" s="486"/>
      <c r="L98" s="452">
        <v>4</v>
      </c>
      <c r="M98" s="452">
        <f>IF(L98&lt;='B1b '!$G$41,'B1b '!$H$41,IF(AND(L98&lt;='B1b '!$G$40,L98&gt;'B1b '!$G$41),0+(('B1b '!$H$41-'B1b '!$H$40)/('B1b '!$G$41-'B1b '!$G$40))*(L98-'B1b '!$G$40),0))</f>
        <v>120</v>
      </c>
      <c r="N98" s="486"/>
      <c r="O98" s="452">
        <v>4</v>
      </c>
      <c r="P98" s="452">
        <f>IF(O98&lt;='B1b '!$G$43,'B1b '!$H$43,IF(AND(O98&lt;='B1b '!$G$42,O98&gt;'B1b '!$G$43),0+(('B1b '!$H$43-'B1b '!$H$42)/('B1b '!$G$43-'B1b '!$G$42))*(O98-'B1b '!$G$42),0))</f>
        <v>105</v>
      </c>
      <c r="Q98" s="446"/>
    </row>
    <row r="99" spans="2:17">
      <c r="B99" s="446"/>
      <c r="C99" s="452">
        <v>5</v>
      </c>
      <c r="D99" s="452">
        <f>IF(C99&lt;='B1b '!$G$35,'B1b '!$H$35,IF(AND(C99&lt;='B1b '!$G$34,C99&gt;'B1b '!$G$35),0+(('B1b '!$H$35-'B1b '!$H$34)/('B1b '!$G$35-'B1b '!$G$34))*(C99-'B1b '!$G$34),0))</f>
        <v>40</v>
      </c>
      <c r="E99" s="486"/>
      <c r="F99" s="452">
        <v>5</v>
      </c>
      <c r="G99" s="452">
        <f>IF(F99&lt;='B1b '!$G$37,'B1b '!$H$37,IF(AND(F99&lt;='B1b '!$G$36,F99&gt;'B1b '!$G$37),0+(('B1b '!$H$37-'B1b '!$H$36)/('B1b '!$G$37-'B1b '!$G$36))*(F99-'B1b '!$G$36),0))</f>
        <v>50</v>
      </c>
      <c r="H99" s="448"/>
      <c r="I99" s="452">
        <v>5</v>
      </c>
      <c r="J99" s="452">
        <f>IF(I99&lt;='B1b '!$G$39,'B1b '!$H$39,IF(AND(I99&lt;='B1b '!$G$38,I99&gt;'B1b '!$G$39),0+(('B1b '!$H$39-'B1b '!$H$38)/('B1b '!$G$39-'B1b '!$G$38))*(I99-'B1b '!$G$38),0))</f>
        <v>45</v>
      </c>
      <c r="K99" s="486"/>
      <c r="L99" s="452">
        <v>5</v>
      </c>
      <c r="M99" s="452">
        <f>IF(L99&lt;='B1b '!$G$41,'B1b '!$H$41,IF(AND(L99&lt;='B1b '!$G$40,L99&gt;'B1b '!$G$41),0+(('B1b '!$H$41-'B1b '!$H$40)/('B1b '!$G$41-'B1b '!$G$40))*(L99-'B1b '!$G$40),0))</f>
        <v>120</v>
      </c>
      <c r="N99" s="486"/>
      <c r="O99" s="452">
        <v>5</v>
      </c>
      <c r="P99" s="452">
        <f>IF(O99&lt;='B1b '!$G$43,'B1b '!$H$43,IF(AND(O99&lt;='B1b '!$G$42,O99&gt;'B1b '!$G$43),0+(('B1b '!$H$43-'B1b '!$H$42)/('B1b '!$G$43-'B1b '!$G$42))*(O99-'B1b '!$G$42),0))</f>
        <v>97.5</v>
      </c>
      <c r="Q99" s="446"/>
    </row>
    <row r="100" spans="2:17">
      <c r="B100" s="446"/>
      <c r="C100" s="452">
        <v>6</v>
      </c>
      <c r="D100" s="452">
        <f>IF(C100&lt;='B1b '!$G$35,'B1b '!$H$35,IF(AND(C100&lt;='B1b '!$G$34,C100&gt;'B1b '!$G$35),0+(('B1b '!$H$35-'B1b '!$H$34)/('B1b '!$G$35-'B1b '!$G$34))*(C100-'B1b '!$G$34),0))</f>
        <v>40</v>
      </c>
      <c r="E100" s="486"/>
      <c r="F100" s="452">
        <v>6</v>
      </c>
      <c r="G100" s="452">
        <f>IF(F100&lt;='B1b '!$G$37,'B1b '!$H$37,IF(AND(F100&lt;='B1b '!$G$36,F100&gt;'B1b '!$G$37),0+(('B1b '!$H$37-'B1b '!$H$36)/('B1b '!$G$37-'B1b '!$G$36))*(F100-'B1b '!$G$36),0))</f>
        <v>50</v>
      </c>
      <c r="H100" s="448"/>
      <c r="I100" s="452">
        <v>6</v>
      </c>
      <c r="J100" s="452">
        <f>IF(I100&lt;='B1b '!$G$39,'B1b '!$H$39,IF(AND(I100&lt;='B1b '!$G$38,I100&gt;'B1b '!$G$39),0+(('B1b '!$H$39-'B1b '!$H$38)/('B1b '!$G$39-'B1b '!$G$38))*(I100-'B1b '!$G$38),0))</f>
        <v>45</v>
      </c>
      <c r="K100" s="486"/>
      <c r="L100" s="452">
        <v>6</v>
      </c>
      <c r="M100" s="452">
        <f>IF(L100&lt;='B1b '!$G$41,'B1b '!$H$41,IF(AND(L100&lt;='B1b '!$G$40,L100&gt;'B1b '!$G$41),0+(('B1b '!$H$41-'B1b '!$H$40)/('B1b '!$G$41-'B1b '!$G$40))*(L100-'B1b '!$G$40),0))</f>
        <v>120</v>
      </c>
      <c r="N100" s="486"/>
      <c r="O100" s="452">
        <v>6</v>
      </c>
      <c r="P100" s="452">
        <f>IF(O100&lt;='B1b '!$G$43,'B1b '!$H$43,IF(AND(O100&lt;='B1b '!$G$42,O100&gt;'B1b '!$G$43),0+(('B1b '!$H$43-'B1b '!$H$42)/('B1b '!$G$43-'B1b '!$G$42))*(O100-'B1b '!$G$42),0))</f>
        <v>90</v>
      </c>
      <c r="Q100" s="446"/>
    </row>
    <row r="101" spans="2:17">
      <c r="B101" s="446"/>
      <c r="C101" s="452">
        <v>7</v>
      </c>
      <c r="D101" s="452">
        <f>IF(C101&lt;='B1b '!$G$35,'B1b '!$H$35,IF(AND(C101&lt;='B1b '!$G$34,C101&gt;'B1b '!$G$35),0+(('B1b '!$H$35-'B1b '!$H$34)/('B1b '!$G$35-'B1b '!$G$34))*(C101-'B1b '!$G$34),0))</f>
        <v>40</v>
      </c>
      <c r="E101" s="486"/>
      <c r="F101" s="452">
        <v>7</v>
      </c>
      <c r="G101" s="452">
        <f>IF(F101&lt;='B1b '!$G$37,'B1b '!$H$37,IF(AND(F101&lt;='B1b '!$G$36,F101&gt;'B1b '!$G$37),0+(('B1b '!$H$37-'B1b '!$H$36)/('B1b '!$G$37-'B1b '!$G$36))*(F101-'B1b '!$G$36),0))</f>
        <v>50</v>
      </c>
      <c r="H101" s="448"/>
      <c r="I101" s="452">
        <v>7</v>
      </c>
      <c r="J101" s="452">
        <f>IF(I101&lt;='B1b '!$G$39,'B1b '!$H$39,IF(AND(I101&lt;='B1b '!$G$38,I101&gt;'B1b '!$G$39),0+(('B1b '!$H$39-'B1b '!$H$38)/('B1b '!$G$39-'B1b '!$G$38))*(I101-'B1b '!$G$38),0))</f>
        <v>45</v>
      </c>
      <c r="K101" s="486"/>
      <c r="L101" s="452">
        <v>7</v>
      </c>
      <c r="M101" s="452">
        <f>IF(L101&lt;='B1b '!$G$41,'B1b '!$H$41,IF(AND(L101&lt;='B1b '!$G$40,L101&gt;'B1b '!$G$41),0+(('B1b '!$H$41-'B1b '!$H$40)/('B1b '!$G$41-'B1b '!$G$40))*(L101-'B1b '!$G$40),0))</f>
        <v>120</v>
      </c>
      <c r="N101" s="486"/>
      <c r="O101" s="452">
        <v>7</v>
      </c>
      <c r="P101" s="452">
        <f>IF(O101&lt;='B1b '!$G$43,'B1b '!$H$43,IF(AND(O101&lt;='B1b '!$G$42,O101&gt;'B1b '!$G$43),0+(('B1b '!$H$43-'B1b '!$H$42)/('B1b '!$G$43-'B1b '!$G$42))*(O101-'B1b '!$G$42),0))</f>
        <v>82.5</v>
      </c>
      <c r="Q101" s="446"/>
    </row>
    <row r="102" spans="2:17">
      <c r="B102" s="446"/>
      <c r="C102" s="452">
        <v>8</v>
      </c>
      <c r="D102" s="452">
        <f>IF(C102&lt;='B1b '!$G$35,'B1b '!$H$35,IF(AND(C102&lt;='B1b '!$G$34,C102&gt;'B1b '!$G$35),0+(('B1b '!$H$35-'B1b '!$H$34)/('B1b '!$G$35-'B1b '!$G$34))*(C102-'B1b '!$G$34),0))</f>
        <v>40</v>
      </c>
      <c r="E102" s="486"/>
      <c r="F102" s="452">
        <v>8</v>
      </c>
      <c r="G102" s="452">
        <f>IF(F102&lt;='B1b '!$G$37,'B1b '!$H$37,IF(AND(F102&lt;='B1b '!$G$36,F102&gt;'B1b '!$G$37),0+(('B1b '!$H$37-'B1b '!$H$36)/('B1b '!$G$37-'B1b '!$G$36))*(F102-'B1b '!$G$36),0))</f>
        <v>50</v>
      </c>
      <c r="H102" s="448"/>
      <c r="I102" s="452">
        <v>8</v>
      </c>
      <c r="J102" s="452">
        <f>IF(I102&lt;='B1b '!$G$39,'B1b '!$H$39,IF(AND(I102&lt;='B1b '!$G$38,I102&gt;'B1b '!$G$39),0+(('B1b '!$H$39-'B1b '!$H$38)/('B1b '!$G$39-'B1b '!$G$38))*(I102-'B1b '!$G$38),0))</f>
        <v>45</v>
      </c>
      <c r="K102" s="486"/>
      <c r="L102" s="452">
        <v>8</v>
      </c>
      <c r="M102" s="452">
        <f>IF(L102&lt;='B1b '!$G$41,'B1b '!$H$41,IF(AND(L102&lt;='B1b '!$G$40,L102&gt;'B1b '!$G$41),0+(('B1b '!$H$41-'B1b '!$H$40)/('B1b '!$G$41-'B1b '!$G$40))*(L102-'B1b '!$G$40),0))</f>
        <v>120</v>
      </c>
      <c r="N102" s="486"/>
      <c r="O102" s="452">
        <v>8</v>
      </c>
      <c r="P102" s="452">
        <f>IF(O102&lt;='B1b '!$G$43,'B1b '!$H$43,IF(AND(O102&lt;='B1b '!$G$42,O102&gt;'B1b '!$G$43),0+(('B1b '!$H$43-'B1b '!$H$42)/('B1b '!$G$43-'B1b '!$G$42))*(O102-'B1b '!$G$42),0))</f>
        <v>75</v>
      </c>
      <c r="Q102" s="446"/>
    </row>
    <row r="103" spans="2:17">
      <c r="B103" s="446"/>
      <c r="C103" s="452">
        <v>9</v>
      </c>
      <c r="D103" s="452">
        <f>IF(C103&lt;='B1b '!$G$35,'B1b '!$H$35,IF(AND(C103&lt;='B1b '!$G$34,C103&gt;'B1b '!$G$35),0+(('B1b '!$H$35-'B1b '!$H$34)/('B1b '!$G$35-'B1b '!$G$34))*(C103-'B1b '!$G$34),0))</f>
        <v>40</v>
      </c>
      <c r="E103" s="486"/>
      <c r="F103" s="452">
        <v>9</v>
      </c>
      <c r="G103" s="452">
        <f>IF(F103&lt;='B1b '!$G$37,'B1b '!$H$37,IF(AND(F103&lt;='B1b '!$G$36,F103&gt;'B1b '!$G$37),0+(('B1b '!$H$37-'B1b '!$H$36)/('B1b '!$G$37-'B1b '!$G$36))*(F103-'B1b '!$G$36),0))</f>
        <v>50</v>
      </c>
      <c r="H103" s="448"/>
      <c r="I103" s="452">
        <v>9</v>
      </c>
      <c r="J103" s="452">
        <f>IF(I103&lt;='B1b '!$G$39,'B1b '!$H$39,IF(AND(I103&lt;='B1b '!$G$38,I103&gt;'B1b '!$G$39),0+(('B1b '!$H$39-'B1b '!$H$38)/('B1b '!$G$39-'B1b '!$G$38))*(I103-'B1b '!$G$38),0))</f>
        <v>45</v>
      </c>
      <c r="K103" s="486"/>
      <c r="L103" s="452">
        <v>9</v>
      </c>
      <c r="M103" s="452">
        <f>IF(L103&lt;='B1b '!$G$41,'B1b '!$H$41,IF(AND(L103&lt;='B1b '!$G$40,L103&gt;'B1b '!$G$41),0+(('B1b '!$H$41-'B1b '!$H$40)/('B1b '!$G$41-'B1b '!$G$40))*(L103-'B1b '!$G$40),0))</f>
        <v>120</v>
      </c>
      <c r="N103" s="486"/>
      <c r="O103" s="452">
        <v>9</v>
      </c>
      <c r="P103" s="452">
        <f>IF(O103&lt;='B1b '!$G$43,'B1b '!$H$43,IF(AND(O103&lt;='B1b '!$G$42,O103&gt;'B1b '!$G$43),0+(('B1b '!$H$43-'B1b '!$H$42)/('B1b '!$G$43-'B1b '!$G$42))*(O103-'B1b '!$G$42),0))</f>
        <v>67.5</v>
      </c>
      <c r="Q103" s="446"/>
    </row>
    <row r="104" spans="2:17">
      <c r="B104" s="446"/>
      <c r="C104" s="452">
        <v>10</v>
      </c>
      <c r="D104" s="452">
        <f>IF(C104&lt;='B1b '!$G$35,'B1b '!$H$35,IF(AND(C104&lt;='B1b '!$G$34,C104&gt;'B1b '!$G$35),0+(('B1b '!$H$35-'B1b '!$H$34)/('B1b '!$G$35-'B1b '!$G$34))*(C104-'B1b '!$G$34),0))</f>
        <v>40</v>
      </c>
      <c r="E104" s="486"/>
      <c r="F104" s="452">
        <v>10</v>
      </c>
      <c r="G104" s="452">
        <f>IF(F104&lt;='B1b '!$G$37,'B1b '!$H$37,IF(AND(F104&lt;='B1b '!$G$36,F104&gt;'B1b '!$G$37),0+(('B1b '!$H$37-'B1b '!$H$36)/('B1b '!$G$37-'B1b '!$G$36))*(F104-'B1b '!$G$36),0))</f>
        <v>50</v>
      </c>
      <c r="H104" s="448"/>
      <c r="I104" s="452">
        <v>10</v>
      </c>
      <c r="J104" s="452">
        <f>IF(I104&lt;='B1b '!$G$39,'B1b '!$H$39,IF(AND(I104&lt;='B1b '!$G$38,I104&gt;'B1b '!$G$39),0+(('B1b '!$H$39-'B1b '!$H$38)/('B1b '!$G$39-'B1b '!$G$38))*(I104-'B1b '!$G$38),0))</f>
        <v>45</v>
      </c>
      <c r="K104" s="486"/>
      <c r="L104" s="452">
        <v>10</v>
      </c>
      <c r="M104" s="452">
        <f>IF(L104&lt;='B1b '!$G$41,'B1b '!$H$41,IF(AND(L104&lt;='B1b '!$G$40,L104&gt;'B1b '!$G$41),0+(('B1b '!$H$41-'B1b '!$H$40)/('B1b '!$G$41-'B1b '!$G$40))*(L104-'B1b '!$G$40),0))</f>
        <v>120</v>
      </c>
      <c r="N104" s="486"/>
      <c r="O104" s="452">
        <v>10</v>
      </c>
      <c r="P104" s="452">
        <f>IF(O104&lt;='B1b '!$G$43,'B1b '!$H$43,IF(AND(O104&lt;='B1b '!$G$42,O104&gt;'B1b '!$G$43),0+(('B1b '!$H$43-'B1b '!$H$42)/('B1b '!$G$43-'B1b '!$G$42))*(O104-'B1b '!$G$42),0))</f>
        <v>60</v>
      </c>
      <c r="Q104" s="446"/>
    </row>
    <row r="105" spans="2:17">
      <c r="B105" s="446"/>
      <c r="C105" s="452">
        <v>11</v>
      </c>
      <c r="D105" s="452">
        <f>IF(C105&lt;='B1b '!$G$35,'B1b '!$H$35,IF(AND(C105&lt;='B1b '!$G$34,C105&gt;'B1b '!$G$35),0+(('B1b '!$H$35-'B1b '!$H$34)/('B1b '!$G$35-'B1b '!$G$34))*(C105-'B1b '!$G$34),0))</f>
        <v>40</v>
      </c>
      <c r="E105" s="486"/>
      <c r="F105" s="452">
        <v>11</v>
      </c>
      <c r="G105" s="452">
        <f>IF(F105&lt;='B1b '!$G$37,'B1b '!$H$37,IF(AND(F105&lt;='B1b '!$G$36,F105&gt;'B1b '!$G$37),0+(('B1b '!$H$37-'B1b '!$H$36)/('B1b '!$G$37-'B1b '!$G$36))*(F105-'B1b '!$G$36),0))</f>
        <v>50</v>
      </c>
      <c r="H105" s="448"/>
      <c r="I105" s="452">
        <v>11</v>
      </c>
      <c r="J105" s="452">
        <f>IF(I105&lt;='B1b '!$G$39,'B1b '!$H$39,IF(AND(I105&lt;='B1b '!$G$38,I105&gt;'B1b '!$G$39),0+(('B1b '!$H$39-'B1b '!$H$38)/('B1b '!$G$39-'B1b '!$G$38))*(I105-'B1b '!$G$38),0))</f>
        <v>45</v>
      </c>
      <c r="K105" s="486"/>
      <c r="L105" s="452">
        <v>11</v>
      </c>
      <c r="M105" s="452">
        <f>IF(L105&lt;='B1b '!$G$41,'B1b '!$H$41,IF(AND(L105&lt;='B1b '!$G$40,L105&gt;'B1b '!$G$41),0+(('B1b '!$H$41-'B1b '!$H$40)/('B1b '!$G$41-'B1b '!$G$40))*(L105-'B1b '!$G$40),0))</f>
        <v>120</v>
      </c>
      <c r="N105" s="486"/>
      <c r="O105" s="452">
        <v>11</v>
      </c>
      <c r="P105" s="452">
        <f>IF(O105&lt;='B1b '!$G$43,'B1b '!$H$43,IF(AND(O105&lt;='B1b '!$G$42,O105&gt;'B1b '!$G$43),0+(('B1b '!$H$43-'B1b '!$H$42)/('B1b '!$G$43-'B1b '!$G$42))*(O105-'B1b '!$G$42),0))</f>
        <v>52.5</v>
      </c>
      <c r="Q105" s="446"/>
    </row>
    <row r="106" spans="2:17">
      <c r="B106" s="446"/>
      <c r="C106" s="452">
        <v>12</v>
      </c>
      <c r="D106" s="452">
        <f>IF(C106&lt;='B1b '!$G$35,'B1b '!$H$35,IF(AND(C106&lt;='B1b '!$G$34,C106&gt;'B1b '!$G$35),0+(('B1b '!$H$35-'B1b '!$H$34)/('B1b '!$G$35-'B1b '!$G$34))*(C106-'B1b '!$G$34),0))</f>
        <v>40</v>
      </c>
      <c r="E106" s="486"/>
      <c r="F106" s="452">
        <v>12</v>
      </c>
      <c r="G106" s="452">
        <f>IF(F106&lt;='B1b '!$G$37,'B1b '!$H$37,IF(AND(F106&lt;='B1b '!$G$36,F106&gt;'B1b '!$G$37),0+(('B1b '!$H$37-'B1b '!$H$36)/('B1b '!$G$37-'B1b '!$G$36))*(F106-'B1b '!$G$36),0))</f>
        <v>50</v>
      </c>
      <c r="H106" s="448"/>
      <c r="I106" s="452">
        <v>12</v>
      </c>
      <c r="J106" s="452">
        <f>IF(I106&lt;='B1b '!$G$39,'B1b '!$H$39,IF(AND(I106&lt;='B1b '!$G$38,I106&gt;'B1b '!$G$39),0+(('B1b '!$H$39-'B1b '!$H$38)/('B1b '!$G$39-'B1b '!$G$38))*(I106-'B1b '!$G$38),0))</f>
        <v>45</v>
      </c>
      <c r="K106" s="486"/>
      <c r="L106" s="452">
        <v>12</v>
      </c>
      <c r="M106" s="452">
        <f>IF(L106&lt;='B1b '!$G$41,'B1b '!$H$41,IF(AND(L106&lt;='B1b '!$G$40,L106&gt;'B1b '!$G$41),0+(('B1b '!$H$41-'B1b '!$H$40)/('B1b '!$G$41-'B1b '!$G$40))*(L106-'B1b '!$G$40),0))</f>
        <v>120</v>
      </c>
      <c r="N106" s="486"/>
      <c r="O106" s="452">
        <v>12</v>
      </c>
      <c r="P106" s="452">
        <f>IF(O106&lt;='B1b '!$G$43,'B1b '!$H$43,IF(AND(O106&lt;='B1b '!$G$42,O106&gt;'B1b '!$G$43),0+(('B1b '!$H$43-'B1b '!$H$42)/('B1b '!$G$43-'B1b '!$G$42))*(O106-'B1b '!$G$42),0))</f>
        <v>45</v>
      </c>
      <c r="Q106" s="446"/>
    </row>
    <row r="107" spans="2:17">
      <c r="B107" s="446"/>
      <c r="C107" s="452">
        <v>13</v>
      </c>
      <c r="D107" s="452">
        <f>IF(C107&lt;='B1b '!$G$35,'B1b '!$H$35,IF(AND(C107&lt;='B1b '!$G$34,C107&gt;'B1b '!$G$35),0+(('B1b '!$H$35-'B1b '!$H$34)/('B1b '!$G$35-'B1b '!$G$34))*(C107-'B1b '!$G$34),0))</f>
        <v>40</v>
      </c>
      <c r="E107" s="486"/>
      <c r="F107" s="452">
        <v>13</v>
      </c>
      <c r="G107" s="452">
        <f>IF(F107&lt;='B1b '!$G$37,'B1b '!$H$37,IF(AND(F107&lt;='B1b '!$G$36,F107&gt;'B1b '!$G$37),0+(('B1b '!$H$37-'B1b '!$H$36)/('B1b '!$G$37-'B1b '!$G$36))*(F107-'B1b '!$G$36),0))</f>
        <v>50</v>
      </c>
      <c r="H107" s="448"/>
      <c r="I107" s="452">
        <v>13</v>
      </c>
      <c r="J107" s="452">
        <f>IF(I107&lt;='B1b '!$G$39,'B1b '!$H$39,IF(AND(I107&lt;='B1b '!$G$38,I107&gt;'B1b '!$G$39),0+(('B1b '!$H$39-'B1b '!$H$38)/('B1b '!$G$39-'B1b '!$G$38))*(I107-'B1b '!$G$38),0))</f>
        <v>42.5</v>
      </c>
      <c r="K107" s="486"/>
      <c r="L107" s="452">
        <v>13</v>
      </c>
      <c r="M107" s="452">
        <f>IF(L107&lt;='B1b '!$G$41,'B1b '!$H$41,IF(AND(L107&lt;='B1b '!$G$40,L107&gt;'B1b '!$G$41),0+(('B1b '!$H$41-'B1b '!$H$40)/('B1b '!$G$41-'B1b '!$G$40))*(L107-'B1b '!$G$40),0))</f>
        <v>120</v>
      </c>
      <c r="N107" s="486"/>
      <c r="O107" s="452">
        <v>13</v>
      </c>
      <c r="P107" s="452">
        <f>IF(O107&lt;='B1b '!$G$43,'B1b '!$H$43,IF(AND(O107&lt;='B1b '!$G$42,O107&gt;'B1b '!$G$43),0+(('B1b '!$H$43-'B1b '!$H$42)/('B1b '!$G$43-'B1b '!$G$42))*(O107-'B1b '!$G$42),0))</f>
        <v>37.5</v>
      </c>
      <c r="Q107" s="446"/>
    </row>
    <row r="108" spans="2:17">
      <c r="B108" s="446"/>
      <c r="C108" s="452">
        <v>14</v>
      </c>
      <c r="D108" s="452">
        <f>IF(C108&lt;='B1b '!$G$35,'B1b '!$H$35,IF(AND(C108&lt;='B1b '!$G$34,C108&gt;'B1b '!$G$35),0+(('B1b '!$H$35-'B1b '!$H$34)/('B1b '!$G$35-'B1b '!$G$34))*(C108-'B1b '!$G$34),0))</f>
        <v>40</v>
      </c>
      <c r="E108" s="486"/>
      <c r="F108" s="452">
        <v>14</v>
      </c>
      <c r="G108" s="452">
        <f>IF(F108&lt;='B1b '!$G$37,'B1b '!$H$37,IF(AND(F108&lt;='B1b '!$G$36,F108&gt;'B1b '!$G$37),0+(('B1b '!$H$37-'B1b '!$H$36)/('B1b '!$G$37-'B1b '!$G$36))*(F108-'B1b '!$G$36),0))</f>
        <v>50</v>
      </c>
      <c r="H108" s="448"/>
      <c r="I108" s="452">
        <v>14</v>
      </c>
      <c r="J108" s="452">
        <f>IF(I108&lt;='B1b '!$G$39,'B1b '!$H$39,IF(AND(I108&lt;='B1b '!$G$38,I108&gt;'B1b '!$G$39),0+(('B1b '!$H$39-'B1b '!$H$38)/('B1b '!$G$39-'B1b '!$G$38))*(I108-'B1b '!$G$38),0))</f>
        <v>40</v>
      </c>
      <c r="K108" s="486"/>
      <c r="L108" s="452">
        <v>14</v>
      </c>
      <c r="M108" s="452">
        <f>IF(L108&lt;='B1b '!$G$41,'B1b '!$H$41,IF(AND(L108&lt;='B1b '!$G$40,L108&gt;'B1b '!$G$41),0+(('B1b '!$H$41-'B1b '!$H$40)/('B1b '!$G$41-'B1b '!$G$40))*(L108-'B1b '!$G$40),0))</f>
        <v>120</v>
      </c>
      <c r="N108" s="486"/>
      <c r="O108" s="452">
        <v>14</v>
      </c>
      <c r="P108" s="452">
        <f>IF(O108&lt;='B1b '!$G$43,'B1b '!$H$43,IF(AND(O108&lt;='B1b '!$G$42,O108&gt;'B1b '!$G$43),0+(('B1b '!$H$43-'B1b '!$H$42)/('B1b '!$G$43-'B1b '!$G$42))*(O108-'B1b '!$G$42),0))</f>
        <v>30</v>
      </c>
      <c r="Q108" s="446"/>
    </row>
    <row r="109" spans="2:17">
      <c r="B109" s="446"/>
      <c r="C109" s="452">
        <v>15</v>
      </c>
      <c r="D109" s="452">
        <f>IF(C109&lt;='B1b '!$G$35,'B1b '!$H$35,IF(AND(C109&lt;='B1b '!$G$34,C109&gt;'B1b '!$G$35),0+(('B1b '!$H$35-'B1b '!$H$34)/('B1b '!$G$35-'B1b '!$G$34))*(C109-'B1b '!$G$34),0))</f>
        <v>40</v>
      </c>
      <c r="E109" s="486"/>
      <c r="F109" s="452">
        <v>15</v>
      </c>
      <c r="G109" s="452">
        <f>IF(F109&lt;='B1b '!$G$37,'B1b '!$H$37,IF(AND(F109&lt;='B1b '!$G$36,F109&gt;'B1b '!$G$37),0+(('B1b '!$H$37-'B1b '!$H$36)/('B1b '!$G$37-'B1b '!$G$36))*(F109-'B1b '!$G$36),0))</f>
        <v>50</v>
      </c>
      <c r="H109" s="448"/>
      <c r="I109" s="452">
        <v>15</v>
      </c>
      <c r="J109" s="452">
        <f>IF(I109&lt;='B1b '!$G$39,'B1b '!$H$39,IF(AND(I109&lt;='B1b '!$G$38,I109&gt;'B1b '!$G$39),0+(('B1b '!$H$39-'B1b '!$H$38)/('B1b '!$G$39-'B1b '!$G$38))*(I109-'B1b '!$G$38),0))</f>
        <v>37.5</v>
      </c>
      <c r="K109" s="486"/>
      <c r="L109" s="452">
        <v>15</v>
      </c>
      <c r="M109" s="452">
        <f>IF(L109&lt;='B1b '!$G$41,'B1b '!$H$41,IF(AND(L109&lt;='B1b '!$G$40,L109&gt;'B1b '!$G$41),0+(('B1b '!$H$41-'B1b '!$H$40)/('B1b '!$G$41-'B1b '!$G$40))*(L109-'B1b '!$G$40),0))</f>
        <v>120</v>
      </c>
      <c r="N109" s="486"/>
      <c r="O109" s="452">
        <v>15</v>
      </c>
      <c r="P109" s="452">
        <f>IF(O109&lt;='B1b '!$G$43,'B1b '!$H$43,IF(AND(O109&lt;='B1b '!$G$42,O109&gt;'B1b '!$G$43),0+(('B1b '!$H$43-'B1b '!$H$42)/('B1b '!$G$43-'B1b '!$G$42))*(O109-'B1b '!$G$42),0))</f>
        <v>22.5</v>
      </c>
      <c r="Q109" s="446"/>
    </row>
    <row r="110" spans="2:17">
      <c r="B110" s="446"/>
      <c r="C110" s="452">
        <v>16</v>
      </c>
      <c r="D110" s="452">
        <f>IF(C110&lt;='B1b '!$G$35,'B1b '!$H$35,IF(AND(C110&lt;='B1b '!$G$34,C110&gt;'B1b '!$G$35),0+(('B1b '!$H$35-'B1b '!$H$34)/('B1b '!$G$35-'B1b '!$G$34))*(C110-'B1b '!$G$34),0))</f>
        <v>38.918918918918919</v>
      </c>
      <c r="E110" s="486"/>
      <c r="F110" s="452">
        <v>16</v>
      </c>
      <c r="G110" s="452">
        <f>IF(F110&lt;='B1b '!$G$37,'B1b '!$H$37,IF(AND(F110&lt;='B1b '!$G$36,F110&gt;'B1b '!$G$37),0+(('B1b '!$H$37-'B1b '!$H$36)/('B1b '!$G$37-'B1b '!$G$36))*(F110-'B1b '!$G$36),0))</f>
        <v>44.444444444444443</v>
      </c>
      <c r="H110" s="448"/>
      <c r="I110" s="452">
        <v>16</v>
      </c>
      <c r="J110" s="452">
        <f>IF(I110&lt;='B1b '!$G$39,'B1b '!$H$39,IF(AND(I110&lt;='B1b '!$G$38,I110&gt;'B1b '!$G$39),0+(('B1b '!$H$39-'B1b '!$H$38)/('B1b '!$G$39-'B1b '!$G$38))*(I110-'B1b '!$G$38),0))</f>
        <v>35</v>
      </c>
      <c r="K110" s="486"/>
      <c r="L110" s="452">
        <v>16</v>
      </c>
      <c r="M110" s="452">
        <f>IF(L110&lt;='B1b '!$G$41,'B1b '!$H$41,IF(AND(L110&lt;='B1b '!$G$40,L110&gt;'B1b '!$G$41),0+(('B1b '!$H$41-'B1b '!$H$40)/('B1b '!$G$41-'B1b '!$G$40))*(L110-'B1b '!$G$40),0))</f>
        <v>120</v>
      </c>
      <c r="N110" s="486"/>
      <c r="O110" s="452">
        <v>16</v>
      </c>
      <c r="P110" s="452">
        <f>IF(O110&lt;='B1b '!$G$43,'B1b '!$H$43,IF(AND(O110&lt;='B1b '!$G$42,O110&gt;'B1b '!$G$43),0+(('B1b '!$H$43-'B1b '!$H$42)/('B1b '!$G$43-'B1b '!$G$42))*(O110-'B1b '!$G$42),0))</f>
        <v>15</v>
      </c>
      <c r="Q110" s="446"/>
    </row>
    <row r="111" spans="2:17">
      <c r="B111" s="446"/>
      <c r="C111" s="452">
        <v>17</v>
      </c>
      <c r="D111" s="452">
        <f>IF(C111&lt;='B1b '!$G$35,'B1b '!$H$35,IF(AND(C111&lt;='B1b '!$G$34,C111&gt;'B1b '!$G$35),0+(('B1b '!$H$35-'B1b '!$H$34)/('B1b '!$G$35-'B1b '!$G$34))*(C111-'B1b '!$G$34),0))</f>
        <v>37.837837837837839</v>
      </c>
      <c r="E111" s="486"/>
      <c r="F111" s="452">
        <v>17</v>
      </c>
      <c r="G111" s="452">
        <f>IF(F111&lt;='B1b '!$G$37,'B1b '!$H$37,IF(AND(F111&lt;='B1b '!$G$36,F111&gt;'B1b '!$G$37),0+(('B1b '!$H$37-'B1b '!$H$36)/('B1b '!$G$37-'B1b '!$G$36))*(F111-'B1b '!$G$36),0))</f>
        <v>38.888888888888886</v>
      </c>
      <c r="H111" s="448"/>
      <c r="I111" s="452">
        <v>17</v>
      </c>
      <c r="J111" s="452">
        <f>IF(I111&lt;='B1b '!$G$39,'B1b '!$H$39,IF(AND(I111&lt;='B1b '!$G$38,I111&gt;'B1b '!$G$39),0+(('B1b '!$H$39-'B1b '!$H$38)/('B1b '!$G$39-'B1b '!$G$38))*(I111-'B1b '!$G$38),0))</f>
        <v>32.5</v>
      </c>
      <c r="K111" s="486"/>
      <c r="L111" s="452">
        <v>17</v>
      </c>
      <c r="M111" s="452">
        <f>IF(L111&lt;='B1b '!$G$41,'B1b '!$H$41,IF(AND(L111&lt;='B1b '!$G$40,L111&gt;'B1b '!$G$41),0+(('B1b '!$H$41-'B1b '!$H$40)/('B1b '!$G$41-'B1b '!$G$40))*(L111-'B1b '!$G$40),0))</f>
        <v>120</v>
      </c>
      <c r="N111" s="486"/>
      <c r="O111" s="452">
        <v>17</v>
      </c>
      <c r="P111" s="452">
        <f>IF(O111&lt;='B1b '!$G$43,'B1b '!$H$43,IF(AND(O111&lt;='B1b '!$G$42,O111&gt;'B1b '!$G$43),0+(('B1b '!$H$43-'B1b '!$H$42)/('B1b '!$G$43-'B1b '!$G$42))*(O111-'B1b '!$G$42),0))</f>
        <v>7.5</v>
      </c>
      <c r="Q111" s="446"/>
    </row>
    <row r="112" spans="2:17">
      <c r="B112" s="446"/>
      <c r="C112" s="452">
        <v>18</v>
      </c>
      <c r="D112" s="452">
        <f>IF(C112&lt;='B1b '!$G$35,'B1b '!$H$35,IF(AND(C112&lt;='B1b '!$G$34,C112&gt;'B1b '!$G$35),0+(('B1b '!$H$35-'B1b '!$H$34)/('B1b '!$G$35-'B1b '!$G$34))*(C112-'B1b '!$G$34),0))</f>
        <v>36.756756756756758</v>
      </c>
      <c r="E112" s="486"/>
      <c r="F112" s="452">
        <v>18</v>
      </c>
      <c r="G112" s="452">
        <f>IF(F112&lt;='B1b '!$G$37,'B1b '!$H$37,IF(AND(F112&lt;='B1b '!$G$36,F112&gt;'B1b '!$G$37),0+(('B1b '!$H$37-'B1b '!$H$36)/('B1b '!$G$37-'B1b '!$G$36))*(F112-'B1b '!$G$36),0))</f>
        <v>33.333333333333329</v>
      </c>
      <c r="H112" s="448"/>
      <c r="I112" s="452">
        <v>18</v>
      </c>
      <c r="J112" s="452">
        <f>IF(I112&lt;='B1b '!$G$39,'B1b '!$H$39,IF(AND(I112&lt;='B1b '!$G$38,I112&gt;'B1b '!$G$39),0+(('B1b '!$H$39-'B1b '!$H$38)/('B1b '!$G$39-'B1b '!$G$38))*(I112-'B1b '!$G$38),0))</f>
        <v>30</v>
      </c>
      <c r="K112" s="486"/>
      <c r="L112" s="452">
        <v>18</v>
      </c>
      <c r="M112" s="452">
        <f>IF(L112&lt;='B1b '!$G$41,'B1b '!$H$41,IF(AND(L112&lt;='B1b '!$G$40,L112&gt;'B1b '!$G$41),0+(('B1b '!$H$41-'B1b '!$H$40)/('B1b '!$G$41-'B1b '!$G$40))*(L112-'B1b '!$G$40),0))</f>
        <v>120</v>
      </c>
      <c r="N112" s="486"/>
      <c r="O112" s="452">
        <v>18</v>
      </c>
      <c r="P112" s="452">
        <f>IF(O112&lt;='B1b '!$G$43,'B1b '!$H$43,IF(AND(O112&lt;='B1b '!$G$42,O112&gt;'B1b '!$G$43),0+(('B1b '!$H$43-'B1b '!$H$42)/('B1b '!$G$43-'B1b '!$G$42))*(O112-'B1b '!$G$42),0))</f>
        <v>0</v>
      </c>
      <c r="Q112" s="446"/>
    </row>
    <row r="113" spans="2:17">
      <c r="B113" s="446"/>
      <c r="C113" s="452">
        <v>19</v>
      </c>
      <c r="D113" s="452">
        <f>IF(C113&lt;='B1b '!$G$35,'B1b '!$H$35,IF(AND(C113&lt;='B1b '!$G$34,C113&gt;'B1b '!$G$35),0+(('B1b '!$H$35-'B1b '!$H$34)/('B1b '!$G$35-'B1b '!$G$34))*(C113-'B1b '!$G$34),0))</f>
        <v>35.675675675675677</v>
      </c>
      <c r="E113" s="486"/>
      <c r="F113" s="452">
        <v>19</v>
      </c>
      <c r="G113" s="452">
        <f>IF(F113&lt;='B1b '!$G$37,'B1b '!$H$37,IF(AND(F113&lt;='B1b '!$G$36,F113&gt;'B1b '!$G$37),0+(('B1b '!$H$37-'B1b '!$H$36)/('B1b '!$G$37-'B1b '!$G$36))*(F113-'B1b '!$G$36),0))</f>
        <v>27.777777777777779</v>
      </c>
      <c r="H113" s="448"/>
      <c r="I113" s="452">
        <v>19</v>
      </c>
      <c r="J113" s="452">
        <f>IF(I113&lt;='B1b '!$G$39,'B1b '!$H$39,IF(AND(I113&lt;='B1b '!$G$38,I113&gt;'B1b '!$G$39),0+(('B1b '!$H$39-'B1b '!$H$38)/('B1b '!$G$39-'B1b '!$G$38))*(I113-'B1b '!$G$38),0))</f>
        <v>27.5</v>
      </c>
      <c r="K113" s="486"/>
      <c r="L113" s="452">
        <v>19</v>
      </c>
      <c r="M113" s="452">
        <f>IF(L113&lt;='B1b '!$G$41,'B1b '!$H$41,IF(AND(L113&lt;='B1b '!$G$40,L113&gt;'B1b '!$G$41),0+(('B1b '!$H$41-'B1b '!$H$40)/('B1b '!$G$41-'B1b '!$G$40))*(L113-'B1b '!$G$40),0))</f>
        <v>120</v>
      </c>
      <c r="N113" s="486"/>
      <c r="O113" s="452">
        <v>19</v>
      </c>
      <c r="P113" s="452">
        <f>IF(O113&lt;='B1b '!$G$43,'B1b '!$H$43,IF(AND(O113&lt;='B1b '!$G$42,O113&gt;'B1b '!$G$43),0+(('B1b '!$H$43-'B1b '!$H$42)/('B1b '!$G$43-'B1b '!$G$42))*(O113-'B1b '!$G$42),0))</f>
        <v>0</v>
      </c>
      <c r="Q113" s="446"/>
    </row>
    <row r="114" spans="2:17">
      <c r="B114" s="446"/>
      <c r="C114" s="452">
        <v>20</v>
      </c>
      <c r="D114" s="452">
        <f>IF(C114&lt;='B1b '!$G$35,'B1b '!$H$35,IF(AND(C114&lt;='B1b '!$G$34,C114&gt;'B1b '!$G$35),0+(('B1b '!$H$35-'B1b '!$H$34)/('B1b '!$G$35-'B1b '!$G$34))*(C114-'B1b '!$G$34),0))</f>
        <v>34.594594594594597</v>
      </c>
      <c r="E114" s="486"/>
      <c r="F114" s="452">
        <v>20</v>
      </c>
      <c r="G114" s="452">
        <f>IF(F114&lt;='B1b '!$G$37,'B1b '!$H$37,IF(AND(F114&lt;='B1b '!$G$36,F114&gt;'B1b '!$G$37),0+(('B1b '!$H$37-'B1b '!$H$36)/('B1b '!$G$37-'B1b '!$G$36))*(F114-'B1b '!$G$36),0))</f>
        <v>22.222222222222221</v>
      </c>
      <c r="H114" s="448"/>
      <c r="I114" s="452">
        <v>20</v>
      </c>
      <c r="J114" s="452">
        <f>IF(I114&lt;='B1b '!$G$39,'B1b '!$H$39,IF(AND(I114&lt;='B1b '!$G$38,I114&gt;'B1b '!$G$39),0+(('B1b '!$H$39-'B1b '!$H$38)/('B1b '!$G$39-'B1b '!$G$38))*(I114-'B1b '!$G$38),0))</f>
        <v>25</v>
      </c>
      <c r="K114" s="486"/>
      <c r="L114" s="452">
        <v>20</v>
      </c>
      <c r="M114" s="452">
        <f>IF(L114&lt;='B1b '!$G$41,'B1b '!$H$41,IF(AND(L114&lt;='B1b '!$G$40,L114&gt;'B1b '!$G$41),0+(('B1b '!$H$41-'B1b '!$H$40)/('B1b '!$G$41-'B1b '!$G$40))*(L114-'B1b '!$G$40),0))</f>
        <v>120</v>
      </c>
      <c r="N114" s="486"/>
      <c r="O114" s="452">
        <v>20</v>
      </c>
      <c r="P114" s="452">
        <f>IF(O114&lt;='B1b '!$G$43,'B1b '!$H$43,IF(AND(O114&lt;='B1b '!$G$42,O114&gt;'B1b '!$G$43),0+(('B1b '!$H$43-'B1b '!$H$42)/('B1b '!$G$43-'B1b '!$G$42))*(O114-'B1b '!$G$42),0))</f>
        <v>0</v>
      </c>
      <c r="Q114" s="446"/>
    </row>
    <row r="115" spans="2:17">
      <c r="B115" s="446"/>
      <c r="C115" s="452">
        <v>21</v>
      </c>
      <c r="D115" s="452">
        <f>IF(C115&lt;='B1b '!$G$35,'B1b '!$H$35,IF(AND(C115&lt;='B1b '!$G$34,C115&gt;'B1b '!$G$35),0+(('B1b '!$H$35-'B1b '!$H$34)/('B1b '!$G$35-'B1b '!$G$34))*(C115-'B1b '!$G$34),0))</f>
        <v>33.513513513513516</v>
      </c>
      <c r="E115" s="486"/>
      <c r="F115" s="452">
        <v>21</v>
      </c>
      <c r="G115" s="452">
        <f>IF(F115&lt;='B1b '!$G$37,'B1b '!$H$37,IF(AND(F115&lt;='B1b '!$G$36,F115&gt;'B1b '!$G$37),0+(('B1b '!$H$37-'B1b '!$H$36)/('B1b '!$G$37-'B1b '!$G$36))*(F115-'B1b '!$G$36),0))</f>
        <v>16.666666666666664</v>
      </c>
      <c r="H115" s="448"/>
      <c r="I115" s="452">
        <v>21</v>
      </c>
      <c r="J115" s="452">
        <f>IF(I115&lt;='B1b '!$G$39,'B1b '!$H$39,IF(AND(I115&lt;='B1b '!$G$38,I115&gt;'B1b '!$G$39),0+(('B1b '!$H$39-'B1b '!$H$38)/('B1b '!$G$39-'B1b '!$G$38))*(I115-'B1b '!$G$38),0))</f>
        <v>22.5</v>
      </c>
      <c r="K115" s="486"/>
      <c r="L115" s="452">
        <v>21</v>
      </c>
      <c r="M115" s="452">
        <f>IF(L115&lt;='B1b '!$G$41,'B1b '!$H$41,IF(AND(L115&lt;='B1b '!$G$40,L115&gt;'B1b '!$G$41),0+(('B1b '!$H$41-'B1b '!$H$40)/('B1b '!$G$41-'B1b '!$G$40))*(L115-'B1b '!$G$40),0))</f>
        <v>120</v>
      </c>
      <c r="N115" s="486"/>
      <c r="O115" s="452">
        <v>21</v>
      </c>
      <c r="P115" s="452">
        <f>IF(O115&lt;='B1b '!$G$43,'B1b '!$H$43,IF(AND(O115&lt;='B1b '!$G$42,O115&gt;'B1b '!$G$43),0+(('B1b '!$H$43-'B1b '!$H$42)/('B1b '!$G$43-'B1b '!$G$42))*(O115-'B1b '!$G$42),0))</f>
        <v>0</v>
      </c>
      <c r="Q115" s="446"/>
    </row>
    <row r="116" spans="2:17">
      <c r="B116" s="446"/>
      <c r="C116" s="452">
        <v>22</v>
      </c>
      <c r="D116" s="452">
        <f>IF(C116&lt;='B1b '!$G$35,'B1b '!$H$35,IF(AND(C116&lt;='B1b '!$G$34,C116&gt;'B1b '!$G$35),0+(('B1b '!$H$35-'B1b '!$H$34)/('B1b '!$G$35-'B1b '!$G$34))*(C116-'B1b '!$G$34),0))</f>
        <v>32.432432432432435</v>
      </c>
      <c r="E116" s="486"/>
      <c r="F116" s="452">
        <v>22</v>
      </c>
      <c r="G116" s="452">
        <f>IF(F116&lt;='B1b '!$G$37,'B1b '!$H$37,IF(AND(F116&lt;='B1b '!$G$36,F116&gt;'B1b '!$G$37),0+(('B1b '!$H$37-'B1b '!$H$36)/('B1b '!$G$37-'B1b '!$G$36))*(F116-'B1b '!$G$36),0))</f>
        <v>11.111111111111111</v>
      </c>
      <c r="H116" s="448"/>
      <c r="I116" s="452">
        <v>22</v>
      </c>
      <c r="J116" s="452">
        <f>IF(I116&lt;='B1b '!$G$39,'B1b '!$H$39,IF(AND(I116&lt;='B1b '!$G$38,I116&gt;'B1b '!$G$39),0+(('B1b '!$H$39-'B1b '!$H$38)/('B1b '!$G$39-'B1b '!$G$38))*(I116-'B1b '!$G$38),0))</f>
        <v>20</v>
      </c>
      <c r="K116" s="486"/>
      <c r="L116" s="452">
        <v>22</v>
      </c>
      <c r="M116" s="452">
        <f>IF(L116&lt;='B1b '!$G$41,'B1b '!$H$41,IF(AND(L116&lt;='B1b '!$G$40,L116&gt;'B1b '!$G$41),0+(('B1b '!$H$41-'B1b '!$H$40)/('B1b '!$G$41-'B1b '!$G$40))*(L116-'B1b '!$G$40),0))</f>
        <v>120</v>
      </c>
      <c r="N116" s="486"/>
      <c r="O116" s="452">
        <v>22</v>
      </c>
      <c r="P116" s="452">
        <f>IF(O116&lt;='B1b '!$G$43,'B1b '!$H$43,IF(AND(O116&lt;='B1b '!$G$42,O116&gt;'B1b '!$G$43),0+(('B1b '!$H$43-'B1b '!$H$42)/('B1b '!$G$43-'B1b '!$G$42))*(O116-'B1b '!$G$42),0))</f>
        <v>0</v>
      </c>
      <c r="Q116" s="446"/>
    </row>
    <row r="117" spans="2:17">
      <c r="B117" s="446"/>
      <c r="C117" s="452">
        <v>23</v>
      </c>
      <c r="D117" s="452">
        <f>IF(C117&lt;='B1b '!$G$35,'B1b '!$H$35,IF(AND(C117&lt;='B1b '!$G$34,C117&gt;'B1b '!$G$35),0+(('B1b '!$H$35-'B1b '!$H$34)/('B1b '!$G$35-'B1b '!$G$34))*(C117-'B1b '!$G$34),0))</f>
        <v>31.351351351351354</v>
      </c>
      <c r="E117" s="486"/>
      <c r="F117" s="452">
        <v>23</v>
      </c>
      <c r="G117" s="452">
        <f>IF(F117&lt;='B1b '!$G$37,'B1b '!$H$37,IF(AND(F117&lt;='B1b '!$G$36,F117&gt;'B1b '!$G$37),0+(('B1b '!$H$37-'B1b '!$H$36)/('B1b '!$G$37-'B1b '!$G$36))*(F117-'B1b '!$G$36),0))</f>
        <v>5.5555555555555554</v>
      </c>
      <c r="H117" s="448"/>
      <c r="I117" s="452">
        <v>23</v>
      </c>
      <c r="J117" s="452">
        <f>IF(I117&lt;='B1b '!$G$39,'B1b '!$H$39,IF(AND(I117&lt;='B1b '!$G$38,I117&gt;'B1b '!$G$39),0+(('B1b '!$H$39-'B1b '!$H$38)/('B1b '!$G$39-'B1b '!$G$38))*(I117-'B1b '!$G$38),0))</f>
        <v>17.5</v>
      </c>
      <c r="K117" s="486"/>
      <c r="L117" s="452">
        <v>23</v>
      </c>
      <c r="M117" s="452">
        <f>IF(L117&lt;='B1b '!$G$41,'B1b '!$H$41,IF(AND(L117&lt;='B1b '!$G$40,L117&gt;'B1b '!$G$41),0+(('B1b '!$H$41-'B1b '!$H$40)/('B1b '!$G$41-'B1b '!$G$40))*(L117-'B1b '!$G$40),0))</f>
        <v>120</v>
      </c>
      <c r="N117" s="486"/>
      <c r="O117" s="452">
        <v>23</v>
      </c>
      <c r="P117" s="452">
        <f>IF(O117&lt;='B1b '!$G$43,'B1b '!$H$43,IF(AND(O117&lt;='B1b '!$G$42,O117&gt;'B1b '!$G$43),0+(('B1b '!$H$43-'B1b '!$H$42)/('B1b '!$G$43-'B1b '!$G$42))*(O117-'B1b '!$G$42),0))</f>
        <v>0</v>
      </c>
      <c r="Q117" s="446"/>
    </row>
    <row r="118" spans="2:17">
      <c r="B118" s="446"/>
      <c r="C118" s="452">
        <v>24</v>
      </c>
      <c r="D118" s="452">
        <f>IF(C118&lt;='B1b '!$G$35,'B1b '!$H$35,IF(AND(C118&lt;='B1b '!$G$34,C118&gt;'B1b '!$G$35),0+(('B1b '!$H$35-'B1b '!$H$34)/('B1b '!$G$35-'B1b '!$G$34))*(C118-'B1b '!$G$34),0))</f>
        <v>30.270270270270274</v>
      </c>
      <c r="E118" s="486"/>
      <c r="F118" s="452">
        <v>24</v>
      </c>
      <c r="G118" s="452">
        <f>IF(F118&lt;='B1b '!$G$37,'B1b '!$H$37,IF(AND(F118&lt;='B1b '!$G$36,F118&gt;'B1b '!$G$37),0+(('B1b '!$H$37-'B1b '!$H$36)/('B1b '!$G$37-'B1b '!$G$36))*(F118-'B1b '!$G$36),0))</f>
        <v>0</v>
      </c>
      <c r="H118" s="448"/>
      <c r="I118" s="452">
        <v>24</v>
      </c>
      <c r="J118" s="452">
        <f>IF(I118&lt;='B1b '!$G$39,'B1b '!$H$39,IF(AND(I118&lt;='B1b '!$G$38,I118&gt;'B1b '!$G$39),0+(('B1b '!$H$39-'B1b '!$H$38)/('B1b '!$G$39-'B1b '!$G$38))*(I118-'B1b '!$G$38),0))</f>
        <v>15</v>
      </c>
      <c r="K118" s="486"/>
      <c r="L118" s="452">
        <v>24</v>
      </c>
      <c r="M118" s="452">
        <f>IF(L118&lt;='B1b '!$G$41,'B1b '!$H$41,IF(AND(L118&lt;='B1b '!$G$40,L118&gt;'B1b '!$G$41),0+(('B1b '!$H$41-'B1b '!$H$40)/('B1b '!$G$41-'B1b '!$G$40))*(L118-'B1b '!$G$40),0))</f>
        <v>120</v>
      </c>
      <c r="N118" s="486"/>
      <c r="O118" s="452">
        <v>24</v>
      </c>
      <c r="P118" s="452">
        <f>IF(O118&lt;='B1b '!$G$43,'B1b '!$H$43,IF(AND(O118&lt;='B1b '!$G$42,O118&gt;'B1b '!$G$43),0+(('B1b '!$H$43-'B1b '!$H$42)/('B1b '!$G$43-'B1b '!$G$42))*(O118-'B1b '!$G$42),0))</f>
        <v>0</v>
      </c>
      <c r="Q118" s="446"/>
    </row>
    <row r="119" spans="2:17">
      <c r="B119" s="446"/>
      <c r="C119" s="452">
        <v>25</v>
      </c>
      <c r="D119" s="452">
        <f>IF(C119&lt;='B1b '!$G$35,'B1b '!$H$35,IF(AND(C119&lt;='B1b '!$G$34,C119&gt;'B1b '!$G$35),0+(('B1b '!$H$35-'B1b '!$H$34)/('B1b '!$G$35-'B1b '!$G$34))*(C119-'B1b '!$G$34),0))</f>
        <v>29.189189189189189</v>
      </c>
      <c r="E119" s="486"/>
      <c r="F119" s="452">
        <v>25</v>
      </c>
      <c r="G119" s="452">
        <f>IF(F119&lt;='B1b '!$G$37,'B1b '!$H$37,IF(AND(F119&lt;='B1b '!$G$36,F119&gt;'B1b '!$G$37),0+(('B1b '!$H$37-'B1b '!$H$36)/('B1b '!$G$37-'B1b '!$G$36))*(F119-'B1b '!$G$36),0))</f>
        <v>0</v>
      </c>
      <c r="H119" s="448"/>
      <c r="I119" s="452">
        <v>25</v>
      </c>
      <c r="J119" s="452">
        <f>IF(I119&lt;='B1b '!$G$39,'B1b '!$H$39,IF(AND(I119&lt;='B1b '!$G$38,I119&gt;'B1b '!$G$39),0+(('B1b '!$H$39-'B1b '!$H$38)/('B1b '!$G$39-'B1b '!$G$38))*(I119-'B1b '!$G$38),0))</f>
        <v>12.5</v>
      </c>
      <c r="K119" s="486"/>
      <c r="L119" s="452">
        <v>25</v>
      </c>
      <c r="M119" s="452">
        <f>IF(L119&lt;='B1b '!$G$41,'B1b '!$H$41,IF(AND(L119&lt;='B1b '!$G$40,L119&gt;'B1b '!$G$41),0+(('B1b '!$H$41-'B1b '!$H$40)/('B1b '!$G$41-'B1b '!$G$40))*(L119-'B1b '!$G$40),0))</f>
        <v>120</v>
      </c>
      <c r="N119" s="486"/>
      <c r="O119" s="452">
        <v>25</v>
      </c>
      <c r="P119" s="452">
        <f>IF(O119&lt;='B1b '!$G$43,'B1b '!$H$43,IF(AND(O119&lt;='B1b '!$G$42,O119&gt;'B1b '!$G$43),0+(('B1b '!$H$43-'B1b '!$H$42)/('B1b '!$G$43-'B1b '!$G$42))*(O119-'B1b '!$G$42),0))</f>
        <v>0</v>
      </c>
      <c r="Q119" s="446"/>
    </row>
    <row r="120" spans="2:17">
      <c r="B120" s="446"/>
      <c r="C120" s="452">
        <v>26</v>
      </c>
      <c r="D120" s="452">
        <f>IF(C120&lt;='B1b '!$G$35,'B1b '!$H$35,IF(AND(C120&lt;='B1b '!$G$34,C120&gt;'B1b '!$G$35),0+(('B1b '!$H$35-'B1b '!$H$34)/('B1b '!$G$35-'B1b '!$G$34))*(C120-'B1b '!$G$34),0))</f>
        <v>28.108108108108109</v>
      </c>
      <c r="E120" s="486"/>
      <c r="F120" s="452">
        <v>26</v>
      </c>
      <c r="G120" s="452">
        <f>IF(F120&lt;='B1b '!$G$37,'B1b '!$H$37,IF(AND(F120&lt;='B1b '!$G$36,F120&gt;'B1b '!$G$37),0+(('B1b '!$H$37-'B1b '!$H$36)/('B1b '!$G$37-'B1b '!$G$36))*(F120-'B1b '!$G$36),0))</f>
        <v>0</v>
      </c>
      <c r="H120" s="448"/>
      <c r="I120" s="452">
        <v>26</v>
      </c>
      <c r="J120" s="452">
        <f>IF(I120&lt;='B1b '!$G$39,'B1b '!$H$39,IF(AND(I120&lt;='B1b '!$G$38,I120&gt;'B1b '!$G$39),0+(('B1b '!$H$39-'B1b '!$H$38)/('B1b '!$G$39-'B1b '!$G$38))*(I120-'B1b '!$G$38),0))</f>
        <v>10</v>
      </c>
      <c r="K120" s="486"/>
      <c r="L120" s="452">
        <v>26</v>
      </c>
      <c r="M120" s="452">
        <f>IF(L120&lt;='B1b '!$G$41,'B1b '!$H$41,IF(AND(L120&lt;='B1b '!$G$40,L120&gt;'B1b '!$G$41),0+(('B1b '!$H$41-'B1b '!$H$40)/('B1b '!$G$41-'B1b '!$G$40))*(L120-'B1b '!$G$40),0))</f>
        <v>120</v>
      </c>
      <c r="N120" s="486"/>
      <c r="O120" s="452">
        <v>26</v>
      </c>
      <c r="P120" s="452">
        <f>IF(O120&lt;='B1b '!$G$43,'B1b '!$H$43,IF(AND(O120&lt;='B1b '!$G$42,O120&gt;'B1b '!$G$43),0+(('B1b '!$H$43-'B1b '!$H$42)/('B1b '!$G$43-'B1b '!$G$42))*(O120-'B1b '!$G$42),0))</f>
        <v>0</v>
      </c>
      <c r="Q120" s="446"/>
    </row>
    <row r="121" spans="2:17">
      <c r="B121" s="446"/>
      <c r="C121" s="452">
        <v>27</v>
      </c>
      <c r="D121" s="452">
        <f>IF(C121&lt;='B1b '!$G$35,'B1b '!$H$35,IF(AND(C121&lt;='B1b '!$G$34,C121&gt;'B1b '!$G$35),0+(('B1b '!$H$35-'B1b '!$H$34)/('B1b '!$G$35-'B1b '!$G$34))*(C121-'B1b '!$G$34),0))</f>
        <v>27.027027027027028</v>
      </c>
      <c r="E121" s="486"/>
      <c r="F121" s="452">
        <v>27</v>
      </c>
      <c r="G121" s="452">
        <f>IF(F121&lt;='B1b '!$G$37,'B1b '!$H$37,IF(AND(F121&lt;='B1b '!$G$36,F121&gt;'B1b '!$G$37),0+(('B1b '!$H$37-'B1b '!$H$36)/('B1b '!$G$37-'B1b '!$G$36))*(F121-'B1b '!$G$36),0))</f>
        <v>0</v>
      </c>
      <c r="H121" s="448"/>
      <c r="I121" s="452">
        <v>27</v>
      </c>
      <c r="J121" s="452">
        <f>IF(I121&lt;='B1b '!$G$39,'B1b '!$H$39,IF(AND(I121&lt;='B1b '!$G$38,I121&gt;'B1b '!$G$39),0+(('B1b '!$H$39-'B1b '!$H$38)/('B1b '!$G$39-'B1b '!$G$38))*(I121-'B1b '!$G$38),0))</f>
        <v>7.5</v>
      </c>
      <c r="K121" s="486"/>
      <c r="L121" s="452">
        <v>27</v>
      </c>
      <c r="M121" s="452">
        <f>IF(L121&lt;='B1b '!$G$41,'B1b '!$H$41,IF(AND(L121&lt;='B1b '!$G$40,L121&gt;'B1b '!$G$41),0+(('B1b '!$H$41-'B1b '!$H$40)/('B1b '!$G$41-'B1b '!$G$40))*(L121-'B1b '!$G$40),0))</f>
        <v>120</v>
      </c>
      <c r="N121" s="486"/>
      <c r="O121" s="452">
        <v>27</v>
      </c>
      <c r="P121" s="452">
        <f>IF(O121&lt;='B1b '!$G$43,'B1b '!$H$43,IF(AND(O121&lt;='B1b '!$G$42,O121&gt;'B1b '!$G$43),0+(('B1b '!$H$43-'B1b '!$H$42)/('B1b '!$G$43-'B1b '!$G$42))*(O121-'B1b '!$G$42),0))</f>
        <v>0</v>
      </c>
      <c r="Q121" s="446"/>
    </row>
    <row r="122" spans="2:17">
      <c r="B122" s="446"/>
      <c r="C122" s="452">
        <v>28</v>
      </c>
      <c r="D122" s="452">
        <f>IF(C122&lt;='B1b '!$G$35,'B1b '!$H$35,IF(AND(C122&lt;='B1b '!$G$34,C122&gt;'B1b '!$G$35),0+(('B1b '!$H$35-'B1b '!$H$34)/('B1b '!$G$35-'B1b '!$G$34))*(C122-'B1b '!$G$34),0))</f>
        <v>25.945945945945947</v>
      </c>
      <c r="E122" s="486"/>
      <c r="F122" s="452">
        <v>28</v>
      </c>
      <c r="G122" s="452">
        <f>IF(F122&lt;='B1b '!$G$37,'B1b '!$H$37,IF(AND(F122&lt;='B1b '!$G$36,F122&gt;'B1b '!$G$37),0+(('B1b '!$H$37-'B1b '!$H$36)/('B1b '!$G$37-'B1b '!$G$36))*(F122-'B1b '!$G$36),0))</f>
        <v>0</v>
      </c>
      <c r="H122" s="448"/>
      <c r="I122" s="452">
        <v>28</v>
      </c>
      <c r="J122" s="452">
        <f>IF(I122&lt;='B1b '!$G$39,'B1b '!$H$39,IF(AND(I122&lt;='B1b '!$G$38,I122&gt;'B1b '!$G$39),0+(('B1b '!$H$39-'B1b '!$H$38)/('B1b '!$G$39-'B1b '!$G$38))*(I122-'B1b '!$G$38),0))</f>
        <v>5</v>
      </c>
      <c r="K122" s="486"/>
      <c r="L122" s="452">
        <v>28</v>
      </c>
      <c r="M122" s="452">
        <f>IF(L122&lt;='B1b '!$G$41,'B1b '!$H$41,IF(AND(L122&lt;='B1b '!$G$40,L122&gt;'B1b '!$G$41),0+(('B1b '!$H$41-'B1b '!$H$40)/('B1b '!$G$41-'B1b '!$G$40))*(L122-'B1b '!$G$40),0))</f>
        <v>120</v>
      </c>
      <c r="N122" s="486"/>
      <c r="O122" s="452">
        <v>28</v>
      </c>
      <c r="P122" s="452">
        <f>IF(O122&lt;='B1b '!$G$43,'B1b '!$H$43,IF(AND(O122&lt;='B1b '!$G$42,O122&gt;'B1b '!$G$43),0+(('B1b '!$H$43-'B1b '!$H$42)/('B1b '!$G$43-'B1b '!$G$42))*(O122-'B1b '!$G$42),0))</f>
        <v>0</v>
      </c>
      <c r="Q122" s="446"/>
    </row>
    <row r="123" spans="2:17">
      <c r="B123" s="446"/>
      <c r="C123" s="452">
        <v>29</v>
      </c>
      <c r="D123" s="452">
        <f>IF(C123&lt;='B1b '!$G$35,'B1b '!$H$35,IF(AND(C123&lt;='B1b '!$G$34,C123&gt;'B1b '!$G$35),0+(('B1b '!$H$35-'B1b '!$H$34)/('B1b '!$G$35-'B1b '!$G$34))*(C123-'B1b '!$G$34),0))</f>
        <v>24.864864864864867</v>
      </c>
      <c r="E123" s="486"/>
      <c r="F123" s="452">
        <v>29</v>
      </c>
      <c r="G123" s="452">
        <f>IF(F123&lt;='B1b '!$G$37,'B1b '!$H$37,IF(AND(F123&lt;='B1b '!$G$36,F123&gt;'B1b '!$G$37),0+(('B1b '!$H$37-'B1b '!$H$36)/('B1b '!$G$37-'B1b '!$G$36))*(F123-'B1b '!$G$36),0))</f>
        <v>0</v>
      </c>
      <c r="H123" s="448"/>
      <c r="I123" s="452">
        <v>29</v>
      </c>
      <c r="J123" s="452">
        <f>IF(I123&lt;='B1b '!$G$39,'B1b '!$H$39,IF(AND(I123&lt;='B1b '!$G$38,I123&gt;'B1b '!$G$39),0+(('B1b '!$H$39-'B1b '!$H$38)/('B1b '!$G$39-'B1b '!$G$38))*(I123-'B1b '!$G$38),0))</f>
        <v>2.5</v>
      </c>
      <c r="K123" s="486"/>
      <c r="L123" s="452">
        <v>29</v>
      </c>
      <c r="M123" s="452">
        <f>IF(L123&lt;='B1b '!$G$41,'B1b '!$H$41,IF(AND(L123&lt;='B1b '!$G$40,L123&gt;'B1b '!$G$41),0+(('B1b '!$H$41-'B1b '!$H$40)/('B1b '!$G$41-'B1b '!$G$40))*(L123-'B1b '!$G$40),0))</f>
        <v>120</v>
      </c>
      <c r="N123" s="486"/>
      <c r="O123" s="452">
        <v>29</v>
      </c>
      <c r="P123" s="452">
        <f>IF(O123&lt;='B1b '!$G$43,'B1b '!$H$43,IF(AND(O123&lt;='B1b '!$G$42,O123&gt;'B1b '!$G$43),0+(('B1b '!$H$43-'B1b '!$H$42)/('B1b '!$G$43-'B1b '!$G$42))*(O123-'B1b '!$G$42),0))</f>
        <v>0</v>
      </c>
      <c r="Q123" s="446"/>
    </row>
    <row r="124" spans="2:17">
      <c r="B124" s="446"/>
      <c r="C124" s="452">
        <v>30</v>
      </c>
      <c r="D124" s="452">
        <f>IF(C124&lt;='B1b '!$G$35,'B1b '!$H$35,IF(AND(C124&lt;='B1b '!$G$34,C124&gt;'B1b '!$G$35),0+(('B1b '!$H$35-'B1b '!$H$34)/('B1b '!$G$35-'B1b '!$G$34))*(C124-'B1b '!$G$34),0))</f>
        <v>23.783783783783786</v>
      </c>
      <c r="E124" s="486"/>
      <c r="F124" s="452">
        <v>30</v>
      </c>
      <c r="G124" s="452">
        <f>IF(F124&lt;='B1b '!$G$37,'B1b '!$H$37,IF(AND(F124&lt;='B1b '!$G$36,F124&gt;'B1b '!$G$37),0+(('B1b '!$H$37-'B1b '!$H$36)/('B1b '!$G$37-'B1b '!$G$36))*(F124-'B1b '!$G$36),0))</f>
        <v>0</v>
      </c>
      <c r="H124" s="448"/>
      <c r="I124" s="452">
        <v>30</v>
      </c>
      <c r="J124" s="452">
        <f>IF(I124&lt;='B1b '!$G$39,'B1b '!$H$39,IF(AND(I124&lt;='B1b '!$G$38,I124&gt;'B1b '!$G$39),0+(('B1b '!$H$39-'B1b '!$H$38)/('B1b '!$G$39-'B1b '!$G$38))*(I124-'B1b '!$G$38),0))</f>
        <v>0</v>
      </c>
      <c r="K124" s="486"/>
      <c r="L124" s="452">
        <v>30</v>
      </c>
      <c r="M124" s="452">
        <f>IF(L124&lt;='B1b '!$G$41,'B1b '!$H$41,IF(AND(L124&lt;='B1b '!$G$40,L124&gt;'B1b '!$G$41),0+(('B1b '!$H$41-'B1b '!$H$40)/('B1b '!$G$41-'B1b '!$G$40))*(L124-'B1b '!$G$40),0))</f>
        <v>120</v>
      </c>
      <c r="N124" s="486"/>
      <c r="O124" s="452">
        <v>30</v>
      </c>
      <c r="P124" s="452">
        <f>IF(O124&lt;='B1b '!$G$43,'B1b '!$H$43,IF(AND(O124&lt;='B1b '!$G$42,O124&gt;'B1b '!$G$43),0+(('B1b '!$H$43-'B1b '!$H$42)/('B1b '!$G$43-'B1b '!$G$42))*(O124-'B1b '!$G$42),0))</f>
        <v>0</v>
      </c>
      <c r="Q124" s="446"/>
    </row>
    <row r="125" spans="2:17">
      <c r="B125" s="446"/>
      <c r="C125" s="452">
        <v>31</v>
      </c>
      <c r="D125" s="452">
        <f>IF(C125&lt;='B1b '!$G$35,'B1b '!$H$35,IF(AND(C125&lt;='B1b '!$G$34,C125&gt;'B1b '!$G$35),0+(('B1b '!$H$35-'B1b '!$H$34)/('B1b '!$G$35-'B1b '!$G$34))*(C125-'B1b '!$G$34),0))</f>
        <v>22.702702702702705</v>
      </c>
      <c r="E125" s="486"/>
      <c r="F125" s="452">
        <v>31</v>
      </c>
      <c r="G125" s="452">
        <f>IF(F125&lt;='B1b '!$G$37,'B1b '!$H$37,IF(AND(F125&lt;='B1b '!$G$36,F125&gt;'B1b '!$G$37),0+(('B1b '!$H$37-'B1b '!$H$36)/('B1b '!$G$37-'B1b '!$G$36))*(F125-'B1b '!$G$36),0))</f>
        <v>0</v>
      </c>
      <c r="H125" s="448"/>
      <c r="I125" s="452">
        <v>31</v>
      </c>
      <c r="J125" s="452">
        <f>IF(I125&lt;='B1b '!$G$39,'B1b '!$H$39,IF(AND(I125&lt;='B1b '!$G$38,I125&gt;'B1b '!$G$39),0+(('B1b '!$H$39-'B1b '!$H$38)/('B1b '!$G$39-'B1b '!$G$38))*(I125-'B1b '!$G$38),0))</f>
        <v>0</v>
      </c>
      <c r="K125" s="486"/>
      <c r="L125" s="452">
        <v>31</v>
      </c>
      <c r="M125" s="452">
        <f>IF(L125&lt;='B1b '!$G$41,'B1b '!$H$41,IF(AND(L125&lt;='B1b '!$G$40,L125&gt;'B1b '!$G$41),0+(('B1b '!$H$41-'B1b '!$H$40)/('B1b '!$G$41-'B1b '!$G$40))*(L125-'B1b '!$G$40),0))</f>
        <v>120</v>
      </c>
      <c r="N125" s="486"/>
      <c r="O125" s="452"/>
      <c r="P125" s="452"/>
      <c r="Q125" s="446"/>
    </row>
    <row r="126" spans="2:17">
      <c r="B126" s="446"/>
      <c r="C126" s="452">
        <v>32</v>
      </c>
      <c r="D126" s="452">
        <f>IF(C126&lt;='B1b '!$G$35,'B1b '!$H$35,IF(AND(C126&lt;='B1b '!$G$34,C126&gt;'B1b '!$G$35),0+(('B1b '!$H$35-'B1b '!$H$34)/('B1b '!$G$35-'B1b '!$G$34))*(C126-'B1b '!$G$34),0))</f>
        <v>21.621621621621621</v>
      </c>
      <c r="E126" s="486"/>
      <c r="F126" s="452">
        <v>32</v>
      </c>
      <c r="G126" s="452">
        <f>IF(F126&lt;='B1b '!$G$37,'B1b '!$H$37,IF(AND(F126&lt;='B1b '!$G$36,F126&gt;'B1b '!$G$37),0+(('B1b '!$H$37-'B1b '!$H$36)/('B1b '!$G$37-'B1b '!$G$36))*(F126-'B1b '!$G$36),0))</f>
        <v>0</v>
      </c>
      <c r="H126" s="448"/>
      <c r="I126" s="452">
        <v>32</v>
      </c>
      <c r="J126" s="452">
        <f>IF(I126&lt;='B1b '!$G$39,'B1b '!$H$39,IF(AND(I126&lt;='B1b '!$G$38,I126&gt;'B1b '!$G$39),0+(('B1b '!$H$39-'B1b '!$H$38)/('B1b '!$G$39-'B1b '!$G$38))*(I126-'B1b '!$G$38),0))</f>
        <v>0</v>
      </c>
      <c r="K126" s="486"/>
      <c r="L126" s="452">
        <v>32</v>
      </c>
      <c r="M126" s="452">
        <f>IF(L126&lt;='B1b '!$G$41,'B1b '!$H$41,IF(AND(L126&lt;='B1b '!$G$40,L126&gt;'B1b '!$G$41),0+(('B1b '!$H$41-'B1b '!$H$40)/('B1b '!$G$41-'B1b '!$G$40))*(L126-'B1b '!$G$40),0))</f>
        <v>120</v>
      </c>
      <c r="N126" s="486"/>
      <c r="O126" s="452"/>
      <c r="P126" s="452"/>
      <c r="Q126" s="446"/>
    </row>
    <row r="127" spans="2:17">
      <c r="B127" s="446"/>
      <c r="C127" s="452">
        <v>33</v>
      </c>
      <c r="D127" s="452">
        <f>IF(C127&lt;='B1b '!$G$35,'B1b '!$H$35,IF(AND(C127&lt;='B1b '!$G$34,C127&gt;'B1b '!$G$35),0+(('B1b '!$H$35-'B1b '!$H$34)/('B1b '!$G$35-'B1b '!$G$34))*(C127-'B1b '!$G$34),0))</f>
        <v>20.54054054054054</v>
      </c>
      <c r="E127" s="486"/>
      <c r="F127" s="452">
        <v>33</v>
      </c>
      <c r="G127" s="452">
        <f>IF(F127&lt;='B1b '!$G$37,'B1b '!$H$37,IF(AND(F127&lt;='B1b '!$G$36,F127&gt;'B1b '!$G$37),0+(('B1b '!$H$37-'B1b '!$H$36)/('B1b '!$G$37-'B1b '!$G$36))*(F127-'B1b '!$G$36),0))</f>
        <v>0</v>
      </c>
      <c r="H127" s="448"/>
      <c r="I127" s="452">
        <v>33</v>
      </c>
      <c r="J127" s="452">
        <f>IF(I127&lt;='B1b '!$G$39,'B1b '!$H$39,IF(AND(I127&lt;='B1b '!$G$38,I127&gt;'B1b '!$G$39),0+(('B1b '!$H$39-'B1b '!$H$38)/('B1b '!$G$39-'B1b '!$G$38))*(I127-'B1b '!$G$38),0))</f>
        <v>0</v>
      </c>
      <c r="K127" s="486"/>
      <c r="L127" s="452">
        <v>33</v>
      </c>
      <c r="M127" s="452">
        <f>IF(L127&lt;='B1b '!$G$41,'B1b '!$H$41,IF(AND(L127&lt;='B1b '!$G$40,L127&gt;'B1b '!$G$41),0+(('B1b '!$H$41-'B1b '!$H$40)/('B1b '!$G$41-'B1b '!$G$40))*(L127-'B1b '!$G$40),0))</f>
        <v>120</v>
      </c>
      <c r="N127" s="486"/>
      <c r="O127" s="452"/>
      <c r="P127" s="452"/>
      <c r="Q127" s="446"/>
    </row>
    <row r="128" spans="2:17">
      <c r="B128" s="446"/>
      <c r="C128" s="452">
        <v>34</v>
      </c>
      <c r="D128" s="452">
        <f>IF(C128&lt;='B1b '!$G$35,'B1b '!$H$35,IF(AND(C128&lt;='B1b '!$G$34,C128&gt;'B1b '!$G$35),0+(('B1b '!$H$35-'B1b '!$H$34)/('B1b '!$G$35-'B1b '!$G$34))*(C128-'B1b '!$G$34),0))</f>
        <v>19.45945945945946</v>
      </c>
      <c r="E128" s="486"/>
      <c r="F128" s="452">
        <v>34</v>
      </c>
      <c r="G128" s="452">
        <f>IF(F128&lt;='B1b '!$G$37,'B1b '!$H$37,IF(AND(F128&lt;='B1b '!$G$36,F128&gt;'B1b '!$G$37),0+(('B1b '!$H$37-'B1b '!$H$36)/('B1b '!$G$37-'B1b '!$G$36))*(F128-'B1b '!$G$36),0))</f>
        <v>0</v>
      </c>
      <c r="H128" s="448"/>
      <c r="I128" s="452">
        <v>34</v>
      </c>
      <c r="J128" s="452">
        <f>IF(I128&lt;='B1b '!$G$39,'B1b '!$H$39,IF(AND(I128&lt;='B1b '!$G$38,I128&gt;'B1b '!$G$39),0+(('B1b '!$H$39-'B1b '!$H$38)/('B1b '!$G$39-'B1b '!$G$38))*(I128-'B1b '!$G$38),0))</f>
        <v>0</v>
      </c>
      <c r="K128" s="486"/>
      <c r="L128" s="452">
        <v>34</v>
      </c>
      <c r="M128" s="452">
        <f>IF(L128&lt;='B1b '!$G$41,'B1b '!$H$41,IF(AND(L128&lt;='B1b '!$G$40,L128&gt;'B1b '!$G$41),0+(('B1b '!$H$41-'B1b '!$H$40)/('B1b '!$G$41-'B1b '!$G$40))*(L128-'B1b '!$G$40),0))</f>
        <v>120</v>
      </c>
      <c r="N128" s="486"/>
      <c r="O128" s="452"/>
      <c r="P128" s="452"/>
      <c r="Q128" s="446"/>
    </row>
    <row r="129" spans="2:17">
      <c r="B129" s="446"/>
      <c r="C129" s="452">
        <v>35</v>
      </c>
      <c r="D129" s="452">
        <f>IF(C129&lt;='B1b '!$G$35,'B1b '!$H$35,IF(AND(C129&lt;='B1b '!$G$34,C129&gt;'B1b '!$G$35),0+(('B1b '!$H$35-'B1b '!$H$34)/('B1b '!$G$35-'B1b '!$G$34))*(C129-'B1b '!$G$34),0))</f>
        <v>18.378378378378379</v>
      </c>
      <c r="E129" s="486"/>
      <c r="F129" s="452">
        <v>35</v>
      </c>
      <c r="G129" s="452">
        <f>IF(F129&lt;='B1b '!$G$37,'B1b '!$H$37,IF(AND(F129&lt;='B1b '!$G$36,F129&gt;'B1b '!$G$37),0+(('B1b '!$H$37-'B1b '!$H$36)/('B1b '!$G$37-'B1b '!$G$36))*(F129-'B1b '!$G$36),0))</f>
        <v>0</v>
      </c>
      <c r="H129" s="448"/>
      <c r="I129" s="452">
        <v>35</v>
      </c>
      <c r="J129" s="452">
        <f>IF(I129&lt;='B1b '!$G$39,'B1b '!$H$39,IF(AND(I129&lt;='B1b '!$G$38,I129&gt;'B1b '!$G$39),0+(('B1b '!$H$39-'B1b '!$H$38)/('B1b '!$G$39-'B1b '!$G$38))*(I129-'B1b '!$G$38),0))</f>
        <v>0</v>
      </c>
      <c r="K129" s="486"/>
      <c r="L129" s="452">
        <v>35</v>
      </c>
      <c r="M129" s="452">
        <f>IF(L129&lt;='B1b '!$G$41,'B1b '!$H$41,IF(AND(L129&lt;='B1b '!$G$40,L129&gt;'B1b '!$G$41),0+(('B1b '!$H$41-'B1b '!$H$40)/('B1b '!$G$41-'B1b '!$G$40))*(L129-'B1b '!$G$40),0))</f>
        <v>120</v>
      </c>
      <c r="N129" s="486"/>
      <c r="O129" s="452"/>
      <c r="P129" s="452"/>
      <c r="Q129" s="446"/>
    </row>
    <row r="130" spans="2:17">
      <c r="B130" s="446"/>
      <c r="C130" s="452">
        <v>36</v>
      </c>
      <c r="D130" s="452">
        <f>IF(C130&lt;='B1b '!$G$35,'B1b '!$H$35,IF(AND(C130&lt;='B1b '!$G$34,C130&gt;'B1b '!$G$35),0+(('B1b '!$H$35-'B1b '!$H$34)/('B1b '!$G$35-'B1b '!$G$34))*(C130-'B1b '!$G$34),0))</f>
        <v>17.297297297297298</v>
      </c>
      <c r="E130" s="486"/>
      <c r="F130" s="452"/>
      <c r="G130" s="452"/>
      <c r="H130" s="448"/>
      <c r="I130" s="452">
        <v>36</v>
      </c>
      <c r="J130" s="452">
        <f>IF(I130&lt;='B1b '!$G$39,'B1b '!$H$39,IF(AND(I130&lt;='B1b '!$G$38,I130&gt;'B1b '!$G$39),0+(('B1b '!$H$39-'B1b '!$H$38)/('B1b '!$G$39-'B1b '!$G$38))*(I130-'B1b '!$G$38),0))</f>
        <v>0</v>
      </c>
      <c r="K130" s="486"/>
      <c r="L130" s="452">
        <v>36</v>
      </c>
      <c r="M130" s="452">
        <f>IF(L130&lt;='B1b '!$G$41,'B1b '!$H$41,IF(AND(L130&lt;='B1b '!$G$40,L130&gt;'B1b '!$G$41),0+(('B1b '!$H$41-'B1b '!$H$40)/('B1b '!$G$41-'B1b '!$G$40))*(L130-'B1b '!$G$40),0))</f>
        <v>120</v>
      </c>
      <c r="N130" s="486"/>
      <c r="O130" s="452"/>
      <c r="P130" s="452"/>
      <c r="Q130" s="446"/>
    </row>
    <row r="131" spans="2:17">
      <c r="B131" s="446"/>
      <c r="C131" s="452">
        <v>37</v>
      </c>
      <c r="D131" s="452">
        <f>IF(C131&lt;='B1b '!$G$35,'B1b '!$H$35,IF(AND(C131&lt;='B1b '!$G$34,C131&gt;'B1b '!$G$35),0+(('B1b '!$H$35-'B1b '!$H$34)/('B1b '!$G$35-'B1b '!$G$34))*(C131-'B1b '!$G$34),0))</f>
        <v>16.216216216216218</v>
      </c>
      <c r="E131" s="486"/>
      <c r="F131" s="452"/>
      <c r="G131" s="452"/>
      <c r="H131" s="448"/>
      <c r="I131" s="452">
        <v>37</v>
      </c>
      <c r="J131" s="452">
        <f>IF(I131&lt;='B1b '!$G$39,'B1b '!$H$39,IF(AND(I131&lt;='B1b '!$G$38,I131&gt;'B1b '!$G$39),0+(('B1b '!$H$39-'B1b '!$H$38)/('B1b '!$G$39-'B1b '!$G$38))*(I131-'B1b '!$G$38),0))</f>
        <v>0</v>
      </c>
      <c r="K131" s="486"/>
      <c r="L131" s="452">
        <v>37</v>
      </c>
      <c r="M131" s="452">
        <f>IF(L131&lt;='B1b '!$G$41,'B1b '!$H$41,IF(AND(L131&lt;='B1b '!$G$40,L131&gt;'B1b '!$G$41),0+(('B1b '!$H$41-'B1b '!$H$40)/('B1b '!$G$41-'B1b '!$G$40))*(L131-'B1b '!$G$40),0))</f>
        <v>120</v>
      </c>
      <c r="N131" s="486"/>
      <c r="O131" s="452"/>
      <c r="P131" s="452"/>
      <c r="Q131" s="446"/>
    </row>
    <row r="132" spans="2:17">
      <c r="B132" s="446"/>
      <c r="C132" s="452">
        <v>38</v>
      </c>
      <c r="D132" s="452">
        <f>IF(C132&lt;='B1b '!$G$35,'B1b '!$H$35,IF(AND(C132&lt;='B1b '!$G$34,C132&gt;'B1b '!$G$35),0+(('B1b '!$H$35-'B1b '!$H$34)/('B1b '!$G$35-'B1b '!$G$34))*(C132-'B1b '!$G$34),0))</f>
        <v>15.135135135135137</v>
      </c>
      <c r="E132" s="486"/>
      <c r="F132" s="452"/>
      <c r="G132" s="452"/>
      <c r="H132" s="448"/>
      <c r="I132" s="452">
        <v>38</v>
      </c>
      <c r="J132" s="452">
        <f>IF(I132&lt;='B1b '!$G$39,'B1b '!$H$39,IF(AND(I132&lt;='B1b '!$G$38,I132&gt;'B1b '!$G$39),0+(('B1b '!$H$39-'B1b '!$H$38)/('B1b '!$G$39-'B1b '!$G$38))*(I132-'B1b '!$G$38),0))</f>
        <v>0</v>
      </c>
      <c r="K132" s="486"/>
      <c r="L132" s="452">
        <v>38</v>
      </c>
      <c r="M132" s="452">
        <f>IF(L132&lt;='B1b '!$G$41,'B1b '!$H$41,IF(AND(L132&lt;='B1b '!$G$40,L132&gt;'B1b '!$G$41),0+(('B1b '!$H$41-'B1b '!$H$40)/('B1b '!$G$41-'B1b '!$G$40))*(L132-'B1b '!$G$40),0))</f>
        <v>120</v>
      </c>
      <c r="N132" s="486"/>
      <c r="O132" s="452"/>
      <c r="P132" s="452"/>
      <c r="Q132" s="446"/>
    </row>
    <row r="133" spans="2:17">
      <c r="B133" s="446"/>
      <c r="C133" s="452">
        <v>39</v>
      </c>
      <c r="D133" s="452">
        <f>IF(C133&lt;='B1b '!$G$35,'B1b '!$H$35,IF(AND(C133&lt;='B1b '!$G$34,C133&gt;'B1b '!$G$35),0+(('B1b '!$H$35-'B1b '!$H$34)/('B1b '!$G$35-'B1b '!$G$34))*(C133-'B1b '!$G$34),0))</f>
        <v>14.054054054054054</v>
      </c>
      <c r="E133" s="486"/>
      <c r="F133" s="452"/>
      <c r="G133" s="452"/>
      <c r="H133" s="448"/>
      <c r="I133" s="452">
        <v>39</v>
      </c>
      <c r="J133" s="452">
        <f>IF(I133&lt;='B1b '!$G$39,'B1b '!$H$39,IF(AND(I133&lt;='B1b '!$G$38,I133&gt;'B1b '!$G$39),0+(('B1b '!$H$39-'B1b '!$H$38)/('B1b '!$G$39-'B1b '!$G$38))*(I133-'B1b '!$G$38),0))</f>
        <v>0</v>
      </c>
      <c r="K133" s="486"/>
      <c r="L133" s="452">
        <v>39</v>
      </c>
      <c r="M133" s="452">
        <f>IF(L133&lt;='B1b '!$G$41,'B1b '!$H$41,IF(AND(L133&lt;='B1b '!$G$40,L133&gt;'B1b '!$G$41),0+(('B1b '!$H$41-'B1b '!$H$40)/('B1b '!$G$41-'B1b '!$G$40))*(L133-'B1b '!$G$40),0))</f>
        <v>120</v>
      </c>
      <c r="N133" s="486"/>
      <c r="O133" s="452"/>
      <c r="P133" s="452"/>
      <c r="Q133" s="446"/>
    </row>
    <row r="134" spans="2:17">
      <c r="B134" s="446"/>
      <c r="C134" s="452">
        <v>40</v>
      </c>
      <c r="D134" s="452">
        <f>IF(C134&lt;='B1b '!$G$35,'B1b '!$H$35,IF(AND(C134&lt;='B1b '!$G$34,C134&gt;'B1b '!$G$35),0+(('B1b '!$H$35-'B1b '!$H$34)/('B1b '!$G$35-'B1b '!$G$34))*(C134-'B1b '!$G$34),0))</f>
        <v>12.972972972972974</v>
      </c>
      <c r="E134" s="486"/>
      <c r="F134" s="452"/>
      <c r="G134" s="452"/>
      <c r="H134" s="448"/>
      <c r="I134" s="452">
        <v>40</v>
      </c>
      <c r="J134" s="452">
        <f>IF(I134&lt;='B1b '!$G$39,'B1b '!$H$39,IF(AND(I134&lt;='B1b '!$G$38,I134&gt;'B1b '!$G$39),0+(('B1b '!$H$39-'B1b '!$H$38)/('B1b '!$G$39-'B1b '!$G$38))*(I134-'B1b '!$G$38),0))</f>
        <v>0</v>
      </c>
      <c r="K134" s="486"/>
      <c r="L134" s="452">
        <v>40</v>
      </c>
      <c r="M134" s="452">
        <f>IF(L134&lt;='B1b '!$G$41,'B1b '!$H$41,IF(AND(L134&lt;='B1b '!$G$40,L134&gt;'B1b '!$G$41),0+(('B1b '!$H$41-'B1b '!$H$40)/('B1b '!$G$41-'B1b '!$G$40))*(L134-'B1b '!$G$40),0))</f>
        <v>120</v>
      </c>
      <c r="N134" s="486"/>
      <c r="O134" s="452"/>
      <c r="P134" s="452"/>
      <c r="Q134" s="446"/>
    </row>
    <row r="135" spans="2:17">
      <c r="B135" s="446"/>
      <c r="C135" s="452">
        <v>41</v>
      </c>
      <c r="D135" s="452">
        <f>IF(C135&lt;='B1b '!$G$35,'B1b '!$H$35,IF(AND(C135&lt;='B1b '!$G$34,C135&gt;'B1b '!$G$35),0+(('B1b '!$H$35-'B1b '!$H$34)/('B1b '!$G$35-'B1b '!$G$34))*(C135-'B1b '!$G$34),0))</f>
        <v>11.891891891891893</v>
      </c>
      <c r="E135" s="486"/>
      <c r="F135" s="452"/>
      <c r="G135" s="452"/>
      <c r="H135" s="448"/>
      <c r="I135" s="452"/>
      <c r="J135" s="452"/>
      <c r="K135" s="486"/>
      <c r="L135" s="452">
        <v>41</v>
      </c>
      <c r="M135" s="452">
        <f>IF(L135&lt;='B1b '!$G$41,'B1b '!$H$41,IF(AND(L135&lt;='B1b '!$G$40,L135&gt;'B1b '!$G$41),0+(('B1b '!$H$41-'B1b '!$H$40)/('B1b '!$G$41-'B1b '!$G$40))*(L135-'B1b '!$G$40),0))</f>
        <v>120</v>
      </c>
      <c r="N135" s="486"/>
      <c r="O135" s="452"/>
      <c r="P135" s="452"/>
      <c r="Q135" s="446"/>
    </row>
    <row r="136" spans="2:17">
      <c r="B136" s="446"/>
      <c r="C136" s="452">
        <v>42</v>
      </c>
      <c r="D136" s="452">
        <f>IF(C136&lt;='B1b '!$G$35,'B1b '!$H$35,IF(AND(C136&lt;='B1b '!$G$34,C136&gt;'B1b '!$G$35),0+(('B1b '!$H$35-'B1b '!$H$34)/('B1b '!$G$35-'B1b '!$G$34))*(C136-'B1b '!$G$34),0))</f>
        <v>10.810810810810811</v>
      </c>
      <c r="E136" s="486"/>
      <c r="F136" s="452"/>
      <c r="G136" s="452"/>
      <c r="H136" s="448"/>
      <c r="I136" s="452"/>
      <c r="J136" s="452"/>
      <c r="K136" s="486"/>
      <c r="L136" s="452">
        <v>42</v>
      </c>
      <c r="M136" s="452">
        <f>IF(L136&lt;='B1b '!$G$41,'B1b '!$H$41,IF(AND(L136&lt;='B1b '!$G$40,L136&gt;'B1b '!$G$41),0+(('B1b '!$H$41-'B1b '!$H$40)/('B1b '!$G$41-'B1b '!$G$40))*(L136-'B1b '!$G$40),0))</f>
        <v>120</v>
      </c>
      <c r="N136" s="486"/>
      <c r="O136" s="452"/>
      <c r="P136" s="452"/>
      <c r="Q136" s="446"/>
    </row>
    <row r="137" spans="2:17">
      <c r="B137" s="446"/>
      <c r="C137" s="452">
        <v>43</v>
      </c>
      <c r="D137" s="452">
        <f>IF(C137&lt;='B1b '!$G$35,'B1b '!$H$35,IF(AND(C137&lt;='B1b '!$G$34,C137&gt;'B1b '!$G$35),0+(('B1b '!$H$35-'B1b '!$H$34)/('B1b '!$G$35-'B1b '!$G$34))*(C137-'B1b '!$G$34),0))</f>
        <v>9.7297297297297298</v>
      </c>
      <c r="E137" s="486"/>
      <c r="F137" s="452"/>
      <c r="G137" s="452"/>
      <c r="H137" s="448"/>
      <c r="I137" s="452"/>
      <c r="J137" s="452"/>
      <c r="K137" s="486"/>
      <c r="L137" s="452">
        <v>43</v>
      </c>
      <c r="M137" s="452">
        <f>IF(L137&lt;='B1b '!$G$41,'B1b '!$H$41,IF(AND(L137&lt;='B1b '!$G$40,L137&gt;'B1b '!$G$41),0+(('B1b '!$H$41-'B1b '!$H$40)/('B1b '!$G$41-'B1b '!$G$40))*(L137-'B1b '!$G$40),0))</f>
        <v>120</v>
      </c>
      <c r="N137" s="486"/>
      <c r="O137" s="452"/>
      <c r="P137" s="452"/>
      <c r="Q137" s="446"/>
    </row>
    <row r="138" spans="2:17">
      <c r="B138" s="446"/>
      <c r="C138" s="452">
        <v>44</v>
      </c>
      <c r="D138" s="452">
        <f>IF(C138&lt;='B1b '!$G$35,'B1b '!$H$35,IF(AND(C138&lt;='B1b '!$G$34,C138&gt;'B1b '!$G$35),0+(('B1b '!$H$35-'B1b '!$H$34)/('B1b '!$G$35-'B1b '!$G$34))*(C138-'B1b '!$G$34),0))</f>
        <v>8.6486486486486491</v>
      </c>
      <c r="E138" s="486"/>
      <c r="F138" s="452"/>
      <c r="G138" s="452"/>
      <c r="H138" s="448"/>
      <c r="I138" s="452"/>
      <c r="J138" s="452"/>
      <c r="K138" s="486"/>
      <c r="L138" s="452">
        <v>44</v>
      </c>
      <c r="M138" s="452">
        <f>IF(L138&lt;='B1b '!$G$41,'B1b '!$H$41,IF(AND(L138&lt;='B1b '!$G$40,L138&gt;'B1b '!$G$41),0+(('B1b '!$H$41-'B1b '!$H$40)/('B1b '!$G$41-'B1b '!$G$40))*(L138-'B1b '!$G$40),0))</f>
        <v>118.26086956521739</v>
      </c>
      <c r="N138" s="486"/>
      <c r="O138" s="452"/>
      <c r="P138" s="452"/>
      <c r="Q138" s="446"/>
    </row>
    <row r="139" spans="2:17">
      <c r="B139" s="446"/>
      <c r="C139" s="452">
        <v>45</v>
      </c>
      <c r="D139" s="452">
        <f>IF(C139&lt;='B1b '!$G$35,'B1b '!$H$35,IF(AND(C139&lt;='B1b '!$G$34,C139&gt;'B1b '!$G$35),0+(('B1b '!$H$35-'B1b '!$H$34)/('B1b '!$G$35-'B1b '!$G$34))*(C139-'B1b '!$G$34),0))</f>
        <v>7.5675675675675684</v>
      </c>
      <c r="E139" s="486"/>
      <c r="F139" s="452"/>
      <c r="G139" s="452"/>
      <c r="H139" s="448"/>
      <c r="I139" s="452"/>
      <c r="J139" s="452"/>
      <c r="K139" s="486"/>
      <c r="L139" s="452">
        <v>45</v>
      </c>
      <c r="M139" s="452">
        <f>IF(L139&lt;='B1b '!$G$41,'B1b '!$H$41,IF(AND(L139&lt;='B1b '!$G$40,L139&gt;'B1b '!$G$41),0+(('B1b '!$H$41-'B1b '!$H$40)/('B1b '!$G$41-'B1b '!$G$40))*(L139-'B1b '!$G$40),0))</f>
        <v>116.52173913043478</v>
      </c>
      <c r="N139" s="486"/>
      <c r="O139" s="452"/>
      <c r="P139" s="452"/>
      <c r="Q139" s="446"/>
    </row>
    <row r="140" spans="2:17">
      <c r="B140" s="446"/>
      <c r="C140" s="452">
        <v>46</v>
      </c>
      <c r="D140" s="452">
        <f>IF(C140&lt;='B1b '!$G$35,'B1b '!$H$35,IF(AND(C140&lt;='B1b '!$G$34,C140&gt;'B1b '!$G$35),0+(('B1b '!$H$35-'B1b '!$H$34)/('B1b '!$G$35-'B1b '!$G$34))*(C140-'B1b '!$G$34),0))</f>
        <v>6.4864864864864868</v>
      </c>
      <c r="E140" s="486"/>
      <c r="F140" s="452"/>
      <c r="G140" s="452"/>
      <c r="H140" s="448"/>
      <c r="I140" s="452"/>
      <c r="J140" s="452"/>
      <c r="K140" s="486"/>
      <c r="L140" s="452">
        <v>46</v>
      </c>
      <c r="M140" s="452">
        <f>IF(L140&lt;='B1b '!$G$41,'B1b '!$H$41,IF(AND(L140&lt;='B1b '!$G$40,L140&gt;'B1b '!$G$41),0+(('B1b '!$H$41-'B1b '!$H$40)/('B1b '!$G$41-'B1b '!$G$40))*(L140-'B1b '!$G$40),0))</f>
        <v>114.78260869565217</v>
      </c>
      <c r="N140" s="486"/>
      <c r="O140" s="452"/>
      <c r="P140" s="452"/>
      <c r="Q140" s="446"/>
    </row>
    <row r="141" spans="2:17">
      <c r="B141" s="446"/>
      <c r="C141" s="452">
        <v>47</v>
      </c>
      <c r="D141" s="452">
        <f>IF(C141&lt;='B1b '!$G$35,'B1b '!$H$35,IF(AND(C141&lt;='B1b '!$G$34,C141&gt;'B1b '!$G$35),0+(('B1b '!$H$35-'B1b '!$H$34)/('B1b '!$G$35-'B1b '!$G$34))*(C141-'B1b '!$G$34),0))</f>
        <v>5.4054054054054053</v>
      </c>
      <c r="E141" s="486"/>
      <c r="F141" s="452"/>
      <c r="G141" s="452"/>
      <c r="H141" s="448"/>
      <c r="I141" s="452"/>
      <c r="J141" s="452"/>
      <c r="K141" s="486"/>
      <c r="L141" s="452">
        <v>47</v>
      </c>
      <c r="M141" s="452">
        <f>IF(L141&lt;='B1b '!$G$41,'B1b '!$H$41,IF(AND(L141&lt;='B1b '!$G$40,L141&gt;'B1b '!$G$41),0+(('B1b '!$H$41-'B1b '!$H$40)/('B1b '!$G$41-'B1b '!$G$40))*(L141-'B1b '!$G$40),0))</f>
        <v>113.04347826086956</v>
      </c>
      <c r="N141" s="486"/>
      <c r="O141" s="452"/>
      <c r="P141" s="452"/>
      <c r="Q141" s="446"/>
    </row>
    <row r="142" spans="2:17">
      <c r="B142" s="446"/>
      <c r="C142" s="452">
        <v>48</v>
      </c>
      <c r="D142" s="452">
        <f>IF(C142&lt;='B1b '!$G$35,'B1b '!$H$35,IF(AND(C142&lt;='B1b '!$G$34,C142&gt;'B1b '!$G$35),0+(('B1b '!$H$35-'B1b '!$H$34)/('B1b '!$G$35-'B1b '!$G$34))*(C142-'B1b '!$G$34),0))</f>
        <v>4.3243243243243246</v>
      </c>
      <c r="E142" s="486"/>
      <c r="F142" s="452"/>
      <c r="G142" s="452"/>
      <c r="H142" s="448"/>
      <c r="I142" s="452"/>
      <c r="J142" s="452"/>
      <c r="K142" s="486"/>
      <c r="L142" s="452">
        <v>48</v>
      </c>
      <c r="M142" s="452">
        <f>IF(L142&lt;='B1b '!$G$41,'B1b '!$H$41,IF(AND(L142&lt;='B1b '!$G$40,L142&gt;'B1b '!$G$41),0+(('B1b '!$H$41-'B1b '!$H$40)/('B1b '!$G$41-'B1b '!$G$40))*(L142-'B1b '!$G$40),0))</f>
        <v>111.30434782608695</v>
      </c>
      <c r="N142" s="486"/>
      <c r="O142" s="452"/>
      <c r="P142" s="452"/>
      <c r="Q142" s="446"/>
    </row>
    <row r="143" spans="2:17">
      <c r="B143" s="446"/>
      <c r="C143" s="452">
        <v>49</v>
      </c>
      <c r="D143" s="452">
        <f>IF(C143&lt;='B1b '!$G$35,'B1b '!$H$35,IF(AND(C143&lt;='B1b '!$G$34,C143&gt;'B1b '!$G$35),0+(('B1b '!$H$35-'B1b '!$H$34)/('B1b '!$G$35-'B1b '!$G$34))*(C143-'B1b '!$G$34),0))</f>
        <v>3.2432432432432434</v>
      </c>
      <c r="E143" s="486"/>
      <c r="F143" s="452"/>
      <c r="G143" s="452"/>
      <c r="H143" s="448"/>
      <c r="I143" s="452"/>
      <c r="J143" s="452"/>
      <c r="K143" s="486"/>
      <c r="L143" s="452">
        <v>49</v>
      </c>
      <c r="M143" s="452">
        <f>IF(L143&lt;='B1b '!$G$41,'B1b '!$H$41,IF(AND(L143&lt;='B1b '!$G$40,L143&gt;'B1b '!$G$41),0+(('B1b '!$H$41-'B1b '!$H$40)/('B1b '!$G$41-'B1b '!$G$40))*(L143-'B1b '!$G$40),0))</f>
        <v>109.56521739130434</v>
      </c>
      <c r="N143" s="486"/>
      <c r="O143" s="452"/>
      <c r="P143" s="452"/>
      <c r="Q143" s="446"/>
    </row>
    <row r="144" spans="2:17">
      <c r="B144" s="446"/>
      <c r="C144" s="452">
        <v>50</v>
      </c>
      <c r="D144" s="452">
        <f>IF(C144&lt;='B1b '!$G$35,'B1b '!$H$35,IF(AND(C144&lt;='B1b '!$G$34,C144&gt;'B1b '!$G$35),0+(('B1b '!$H$35-'B1b '!$H$34)/('B1b '!$G$35-'B1b '!$G$34))*(C144-'B1b '!$G$34),0))</f>
        <v>2.1621621621621623</v>
      </c>
      <c r="E144" s="486"/>
      <c r="F144" s="452"/>
      <c r="G144" s="452"/>
      <c r="H144" s="448"/>
      <c r="I144" s="452"/>
      <c r="J144" s="452"/>
      <c r="K144" s="486"/>
      <c r="L144" s="452">
        <v>50</v>
      </c>
      <c r="M144" s="452">
        <f>IF(L144&lt;='B1b '!$G$41,'B1b '!$H$41,IF(AND(L144&lt;='B1b '!$G$40,L144&gt;'B1b '!$G$41),0+(('B1b '!$H$41-'B1b '!$H$40)/('B1b '!$G$41-'B1b '!$G$40))*(L144-'B1b '!$G$40),0))</f>
        <v>107.82608695652173</v>
      </c>
      <c r="N144" s="486"/>
      <c r="O144" s="452"/>
      <c r="P144" s="452"/>
      <c r="Q144" s="446"/>
    </row>
    <row r="145" spans="2:17">
      <c r="B145" s="446"/>
      <c r="C145" s="452">
        <v>51</v>
      </c>
      <c r="D145" s="452">
        <f>IF(C145&lt;='B1b '!$G$35,'B1b '!$H$35,IF(AND(C145&lt;='B1b '!$G$34,C145&gt;'B1b '!$G$35),0+(('B1b '!$H$35-'B1b '!$H$34)/('B1b '!$G$35-'B1b '!$G$34))*(C145-'B1b '!$G$34),0))</f>
        <v>1.0810810810810811</v>
      </c>
      <c r="E145" s="486"/>
      <c r="F145" s="452"/>
      <c r="G145" s="452"/>
      <c r="H145" s="448"/>
      <c r="I145" s="452"/>
      <c r="J145" s="452"/>
      <c r="K145" s="486"/>
      <c r="L145" s="452">
        <v>51</v>
      </c>
      <c r="M145" s="452">
        <f>IF(L145&lt;='B1b '!$G$41,'B1b '!$H$41,IF(AND(L145&lt;='B1b '!$G$40,L145&gt;'B1b '!$G$41),0+(('B1b '!$H$41-'B1b '!$H$40)/('B1b '!$G$41-'B1b '!$G$40))*(L145-'B1b '!$G$40),0))</f>
        <v>106.08695652173913</v>
      </c>
      <c r="N145" s="486"/>
      <c r="O145" s="452"/>
      <c r="P145" s="452"/>
      <c r="Q145" s="446"/>
    </row>
    <row r="146" spans="2:17">
      <c r="B146" s="446"/>
      <c r="C146" s="452">
        <v>52</v>
      </c>
      <c r="D146" s="452">
        <f>IF(C146&lt;='B1b '!$G$35,'B1b '!$H$35,IF(AND(C146&lt;='B1b '!$G$34,C146&gt;'B1b '!$G$35),0+(('B1b '!$H$35-'B1b '!$H$34)/('B1b '!$G$35-'B1b '!$G$34))*(C146-'B1b '!$G$34),0))</f>
        <v>0</v>
      </c>
      <c r="E146" s="486"/>
      <c r="F146" s="452"/>
      <c r="G146" s="452"/>
      <c r="H146" s="448"/>
      <c r="I146" s="452"/>
      <c r="J146" s="452"/>
      <c r="K146" s="486"/>
      <c r="L146" s="452">
        <v>52</v>
      </c>
      <c r="M146" s="452">
        <f>IF(L146&lt;='B1b '!$G$41,'B1b '!$H$41,IF(AND(L146&lt;='B1b '!$G$40,L146&gt;'B1b '!$G$41),0+(('B1b '!$H$41-'B1b '!$H$40)/('B1b '!$G$41-'B1b '!$G$40))*(L146-'B1b '!$G$40),0))</f>
        <v>104.34782608695652</v>
      </c>
      <c r="N146" s="486"/>
      <c r="O146" s="452"/>
      <c r="P146" s="452"/>
      <c r="Q146" s="446"/>
    </row>
    <row r="147" spans="2:17">
      <c r="B147" s="446"/>
      <c r="C147" s="452">
        <v>53</v>
      </c>
      <c r="D147" s="452">
        <f>IF(C147&lt;='B1b '!$G$35,'B1b '!$H$35,IF(AND(C147&lt;='B1b '!$G$34,C147&gt;'B1b '!$G$35),0+(('B1b '!$H$35-'B1b '!$H$34)/('B1b '!$G$35-'B1b '!$G$34))*(C147-'B1b '!$G$34),0))</f>
        <v>0</v>
      </c>
      <c r="E147" s="486"/>
      <c r="F147" s="452"/>
      <c r="G147" s="452"/>
      <c r="H147" s="448"/>
      <c r="I147" s="452"/>
      <c r="J147" s="452"/>
      <c r="K147" s="486"/>
      <c r="L147" s="452">
        <v>53</v>
      </c>
      <c r="M147" s="452">
        <f>IF(L147&lt;='B1b '!$G$41,'B1b '!$H$41,IF(AND(L147&lt;='B1b '!$G$40,L147&gt;'B1b '!$G$41),0+(('B1b '!$H$41-'B1b '!$H$40)/('B1b '!$G$41-'B1b '!$G$40))*(L147-'B1b '!$G$40),0))</f>
        <v>102.60869565217391</v>
      </c>
      <c r="N147" s="486"/>
      <c r="O147" s="452"/>
      <c r="P147" s="452"/>
      <c r="Q147" s="446"/>
    </row>
    <row r="148" spans="2:17">
      <c r="B148" s="446"/>
      <c r="C148" s="452">
        <v>54</v>
      </c>
      <c r="D148" s="452">
        <f>IF(C148&lt;='B1b '!$G$35,'B1b '!$H$35,IF(AND(C148&lt;='B1b '!$G$34,C148&gt;'B1b '!$G$35),0+(('B1b '!$H$35-'B1b '!$H$34)/('B1b '!$G$35-'B1b '!$G$34))*(C148-'B1b '!$G$34),0))</f>
        <v>0</v>
      </c>
      <c r="E148" s="486"/>
      <c r="F148" s="452"/>
      <c r="G148" s="452"/>
      <c r="H148" s="448"/>
      <c r="I148" s="452"/>
      <c r="J148" s="452"/>
      <c r="K148" s="486"/>
      <c r="L148" s="452">
        <v>54</v>
      </c>
      <c r="M148" s="452">
        <f>IF(L148&lt;='B1b '!$G$41,'B1b '!$H$41,IF(AND(L148&lt;='B1b '!$G$40,L148&gt;'B1b '!$G$41),0+(('B1b '!$H$41-'B1b '!$H$40)/('B1b '!$G$41-'B1b '!$G$40))*(L148-'B1b '!$G$40),0))</f>
        <v>100.8695652173913</v>
      </c>
      <c r="N148" s="486"/>
      <c r="O148" s="452"/>
      <c r="P148" s="452"/>
      <c r="Q148" s="446"/>
    </row>
    <row r="149" spans="2:17">
      <c r="B149" s="446"/>
      <c r="C149" s="452">
        <v>55</v>
      </c>
      <c r="D149" s="452">
        <f>IF(C149&lt;='B1b '!$G$35,'B1b '!$H$35,IF(AND(C149&lt;='B1b '!$G$34,C149&gt;'B1b '!$G$35),0+(('B1b '!$H$35-'B1b '!$H$34)/('B1b '!$G$35-'B1b '!$G$34))*(C149-'B1b '!$G$34),0))</f>
        <v>0</v>
      </c>
      <c r="E149" s="486"/>
      <c r="F149" s="452"/>
      <c r="G149" s="452"/>
      <c r="H149" s="448"/>
      <c r="I149" s="452"/>
      <c r="J149" s="452"/>
      <c r="K149" s="486"/>
      <c r="L149" s="452">
        <v>55</v>
      </c>
      <c r="M149" s="452">
        <f>IF(L149&lt;='B1b '!$G$41,'B1b '!$H$41,IF(AND(L149&lt;='B1b '!$G$40,L149&gt;'B1b '!$G$41),0+(('B1b '!$H$41-'B1b '!$H$40)/('B1b '!$G$41-'B1b '!$G$40))*(L149-'B1b '!$G$40),0))</f>
        <v>99.130434782608688</v>
      </c>
      <c r="N149" s="486"/>
      <c r="O149" s="452"/>
      <c r="P149" s="452"/>
      <c r="Q149" s="446"/>
    </row>
    <row r="150" spans="2:17">
      <c r="B150" s="446"/>
      <c r="C150" s="452">
        <v>56</v>
      </c>
      <c r="D150" s="452">
        <f>IF(C150&lt;='B1b '!$G$35,'B1b '!$H$35,IF(AND(C150&lt;='B1b '!$G$34,C150&gt;'B1b '!$G$35),0+(('B1b '!$H$35-'B1b '!$H$34)/('B1b '!$G$35-'B1b '!$G$34))*(C150-'B1b '!$G$34),0))</f>
        <v>0</v>
      </c>
      <c r="E150" s="486"/>
      <c r="F150" s="452"/>
      <c r="G150" s="452"/>
      <c r="H150" s="448"/>
      <c r="I150" s="452"/>
      <c r="J150" s="452"/>
      <c r="K150" s="486"/>
      <c r="L150" s="452">
        <v>56</v>
      </c>
      <c r="M150" s="452">
        <f>IF(L150&lt;='B1b '!$G$41,'B1b '!$H$41,IF(AND(L150&lt;='B1b '!$G$40,L150&gt;'B1b '!$G$41),0+(('B1b '!$H$41-'B1b '!$H$40)/('B1b '!$G$41-'B1b '!$G$40))*(L150-'B1b '!$G$40),0))</f>
        <v>97.391304347826079</v>
      </c>
      <c r="N150" s="486"/>
      <c r="O150" s="452"/>
      <c r="P150" s="452"/>
      <c r="Q150" s="446"/>
    </row>
    <row r="151" spans="2:17">
      <c r="B151" s="446"/>
      <c r="C151" s="452">
        <v>57</v>
      </c>
      <c r="D151" s="452">
        <f>IF(C151&lt;='B1b '!$G$35,'B1b '!$H$35,IF(AND(C151&lt;='B1b '!$G$34,C151&gt;'B1b '!$G$35),0+(('B1b '!$H$35-'B1b '!$H$34)/('B1b '!$G$35-'B1b '!$G$34))*(C151-'B1b '!$G$34),0))</f>
        <v>0</v>
      </c>
      <c r="E151" s="486"/>
      <c r="F151" s="452"/>
      <c r="G151" s="452"/>
      <c r="H151" s="448"/>
      <c r="I151" s="452"/>
      <c r="J151" s="452"/>
      <c r="K151" s="486"/>
      <c r="L151" s="452">
        <v>57</v>
      </c>
      <c r="M151" s="452">
        <f>IF(L151&lt;='B1b '!$G$41,'B1b '!$H$41,IF(AND(L151&lt;='B1b '!$G$40,L151&gt;'B1b '!$G$41),0+(('B1b '!$H$41-'B1b '!$H$40)/('B1b '!$G$41-'B1b '!$G$40))*(L151-'B1b '!$G$40),0))</f>
        <v>95.65217391304347</v>
      </c>
      <c r="N151" s="486"/>
      <c r="O151" s="452"/>
      <c r="P151" s="452"/>
      <c r="Q151" s="446"/>
    </row>
    <row r="152" spans="2:17">
      <c r="B152" s="446"/>
      <c r="C152" s="452">
        <v>58</v>
      </c>
      <c r="D152" s="452">
        <f>IF(C152&lt;='B1b '!$G$35,'B1b '!$H$35,IF(AND(C152&lt;='B1b '!$G$34,C152&gt;'B1b '!$G$35),0+(('B1b '!$H$35-'B1b '!$H$34)/('B1b '!$G$35-'B1b '!$G$34))*(C152-'B1b '!$G$34),0))</f>
        <v>0</v>
      </c>
      <c r="E152" s="486"/>
      <c r="F152" s="452"/>
      <c r="G152" s="452"/>
      <c r="H152" s="448"/>
      <c r="I152" s="452"/>
      <c r="J152" s="452"/>
      <c r="K152" s="486"/>
      <c r="L152" s="452">
        <v>58</v>
      </c>
      <c r="M152" s="452">
        <f>IF(L152&lt;='B1b '!$G$41,'B1b '!$H$41,IF(AND(L152&lt;='B1b '!$G$40,L152&gt;'B1b '!$G$41),0+(('B1b '!$H$41-'B1b '!$H$40)/('B1b '!$G$41-'B1b '!$G$40))*(L152-'B1b '!$G$40),0))</f>
        <v>93.91304347826086</v>
      </c>
      <c r="N152" s="486"/>
      <c r="O152" s="452"/>
      <c r="P152" s="452"/>
      <c r="Q152" s="446"/>
    </row>
    <row r="153" spans="2:17">
      <c r="B153" s="446"/>
      <c r="C153" s="452">
        <v>59</v>
      </c>
      <c r="D153" s="452">
        <f>IF(C153&lt;='B1b '!$G$35,'B1b '!$H$35,IF(AND(C153&lt;='B1b '!$G$34,C153&gt;'B1b '!$G$35),0+(('B1b '!$H$35-'B1b '!$H$34)/('B1b '!$G$35-'B1b '!$G$34))*(C153-'B1b '!$G$34),0))</f>
        <v>0</v>
      </c>
      <c r="E153" s="486"/>
      <c r="F153" s="452"/>
      <c r="G153" s="452"/>
      <c r="H153" s="448"/>
      <c r="I153" s="452"/>
      <c r="J153" s="452"/>
      <c r="K153" s="486"/>
      <c r="L153" s="452">
        <v>59</v>
      </c>
      <c r="M153" s="452">
        <f>IF(L153&lt;='B1b '!$G$41,'B1b '!$H$41,IF(AND(L153&lt;='B1b '!$G$40,L153&gt;'B1b '!$G$41),0+(('B1b '!$H$41-'B1b '!$H$40)/('B1b '!$G$41-'B1b '!$G$40))*(L153-'B1b '!$G$40),0))</f>
        <v>92.173913043478265</v>
      </c>
      <c r="N153" s="486"/>
      <c r="O153" s="452"/>
      <c r="P153" s="452"/>
      <c r="Q153" s="446"/>
    </row>
    <row r="154" spans="2:17">
      <c r="B154" s="446"/>
      <c r="C154" s="452">
        <v>60</v>
      </c>
      <c r="D154" s="452">
        <f>IF(C154&lt;='B1b '!$G$35,'B1b '!$H$35,IF(AND(C154&lt;='B1b '!$G$34,C154&gt;'B1b '!$G$35),0+(('B1b '!$H$35-'B1b '!$H$34)/('B1b '!$G$35-'B1b '!$G$34))*(C154-'B1b '!$G$34),0))</f>
        <v>0</v>
      </c>
      <c r="E154" s="486"/>
      <c r="F154" s="452"/>
      <c r="G154" s="452"/>
      <c r="H154" s="448"/>
      <c r="I154" s="452"/>
      <c r="J154" s="452"/>
      <c r="K154" s="486"/>
      <c r="L154" s="452">
        <v>60</v>
      </c>
      <c r="M154" s="452">
        <f>IF(L154&lt;='B1b '!$G$41,'B1b '!$H$41,IF(AND(L154&lt;='B1b '!$G$40,L154&gt;'B1b '!$G$41),0+(('B1b '!$H$41-'B1b '!$H$40)/('B1b '!$G$41-'B1b '!$G$40))*(L154-'B1b '!$G$40),0))</f>
        <v>90.434782608695656</v>
      </c>
      <c r="N154" s="486"/>
      <c r="O154" s="452"/>
      <c r="P154" s="452"/>
      <c r="Q154" s="446"/>
    </row>
    <row r="155" spans="2:17">
      <c r="B155" s="446"/>
      <c r="C155" s="452">
        <v>61</v>
      </c>
      <c r="D155" s="452">
        <f>IF(C155&lt;='B1b '!$G$35,'B1b '!$H$35,IF(AND(C155&lt;='B1b '!$G$34,C155&gt;'B1b '!$G$35),0+(('B1b '!$H$35-'B1b '!$H$34)/('B1b '!$G$35-'B1b '!$G$34))*(C155-'B1b '!$G$34),0))</f>
        <v>0</v>
      </c>
      <c r="E155" s="486"/>
      <c r="F155" s="452"/>
      <c r="G155" s="452"/>
      <c r="H155" s="448"/>
      <c r="I155" s="452"/>
      <c r="J155" s="452"/>
      <c r="K155" s="486"/>
      <c r="L155" s="452">
        <v>61</v>
      </c>
      <c r="M155" s="452">
        <f>IF(L155&lt;='B1b '!$G$41,'B1b '!$H$41,IF(AND(L155&lt;='B1b '!$G$40,L155&gt;'B1b '!$G$41),0+(('B1b '!$H$41-'B1b '!$H$40)/('B1b '!$G$41-'B1b '!$G$40))*(L155-'B1b '!$G$40),0))</f>
        <v>88.695652173913047</v>
      </c>
      <c r="N155" s="486"/>
      <c r="O155" s="452"/>
      <c r="P155" s="452"/>
      <c r="Q155" s="446"/>
    </row>
    <row r="156" spans="2:17">
      <c r="B156" s="446"/>
      <c r="C156" s="452">
        <v>62</v>
      </c>
      <c r="D156" s="452">
        <f>IF(C156&lt;='B1b '!$G$35,'B1b '!$H$35,IF(AND(C156&lt;='B1b '!$G$34,C156&gt;'B1b '!$G$35),0+(('B1b '!$H$35-'B1b '!$H$34)/('B1b '!$G$35-'B1b '!$G$34))*(C156-'B1b '!$G$34),0))</f>
        <v>0</v>
      </c>
      <c r="E156" s="448"/>
      <c r="F156" s="452"/>
      <c r="G156" s="452"/>
      <c r="H156" s="448"/>
      <c r="I156" s="452"/>
      <c r="J156" s="452"/>
      <c r="K156" s="448"/>
      <c r="L156" s="452">
        <v>62</v>
      </c>
      <c r="M156" s="452">
        <f>IF(L156&lt;='B1b '!$G$41,'B1b '!$H$41,IF(AND(L156&lt;='B1b '!$G$40,L156&gt;'B1b '!$G$41),0+(('B1b '!$H$41-'B1b '!$H$40)/('B1b '!$G$41-'B1b '!$G$40))*(L156-'B1b '!$G$40),0))</f>
        <v>86.956521739130437</v>
      </c>
      <c r="N156" s="448"/>
      <c r="O156" s="452"/>
      <c r="P156" s="452"/>
      <c r="Q156" s="446"/>
    </row>
    <row r="157" spans="2:17">
      <c r="B157" s="446"/>
      <c r="C157" s="452">
        <v>63</v>
      </c>
      <c r="D157" s="452">
        <f>IF(C157&lt;='B1b '!$G$35,'B1b '!$H$35,IF(AND(C157&lt;='B1b '!$G$34,C157&gt;'B1b '!$G$35),0+(('B1b '!$H$35-'B1b '!$H$34)/('B1b '!$G$35-'B1b '!$G$34))*(C157-'B1b '!$G$34),0))</f>
        <v>0</v>
      </c>
      <c r="E157" s="448"/>
      <c r="F157" s="452"/>
      <c r="G157" s="452"/>
      <c r="H157" s="448"/>
      <c r="I157" s="452"/>
      <c r="J157" s="452"/>
      <c r="K157" s="448"/>
      <c r="L157" s="452">
        <v>63</v>
      </c>
      <c r="M157" s="452">
        <f>IF(L157&lt;='B1b '!$G$41,'B1b '!$H$41,IF(AND(L157&lt;='B1b '!$G$40,L157&gt;'B1b '!$G$41),0+(('B1b '!$H$41-'B1b '!$H$40)/('B1b '!$G$41-'B1b '!$G$40))*(L157-'B1b '!$G$40),0))</f>
        <v>85.217391304347828</v>
      </c>
      <c r="N157" s="448"/>
      <c r="O157" s="452"/>
      <c r="P157" s="452"/>
      <c r="Q157" s="446"/>
    </row>
    <row r="158" spans="2:17">
      <c r="B158" s="446"/>
      <c r="C158" s="452">
        <v>64</v>
      </c>
      <c r="D158" s="452">
        <f>IF(C158&lt;='B1b '!$G$35,'B1b '!$H$35,IF(AND(C158&lt;='B1b '!$G$34,C158&gt;'B1b '!$G$35),0+(('B1b '!$H$35-'B1b '!$H$34)/('B1b '!$G$35-'B1b '!$G$34))*(C158-'B1b '!$G$34),0))</f>
        <v>0</v>
      </c>
      <c r="E158" s="448"/>
      <c r="F158" s="452"/>
      <c r="G158" s="452"/>
      <c r="H158" s="448"/>
      <c r="I158" s="452"/>
      <c r="J158" s="452"/>
      <c r="K158" s="448"/>
      <c r="L158" s="452">
        <v>64</v>
      </c>
      <c r="M158" s="452">
        <f>IF(L158&lt;='B1b '!$G$41,'B1b '!$H$41,IF(AND(L158&lt;='B1b '!$G$40,L158&gt;'B1b '!$G$41),0+(('B1b '!$H$41-'B1b '!$H$40)/('B1b '!$G$41-'B1b '!$G$40))*(L158-'B1b '!$G$40),0))</f>
        <v>83.478260869565219</v>
      </c>
      <c r="N158" s="448"/>
      <c r="O158" s="452"/>
      <c r="P158" s="452"/>
      <c r="Q158" s="446"/>
    </row>
    <row r="159" spans="2:17">
      <c r="B159" s="446"/>
      <c r="C159" s="452">
        <v>65</v>
      </c>
      <c r="D159" s="452">
        <f>IF(C159&lt;='B1b '!$G$35,'B1b '!$H$35,IF(AND(C159&lt;='B1b '!$G$34,C159&gt;'B1b '!$G$35),0+(('B1b '!$H$35-'B1b '!$H$34)/('B1b '!$G$35-'B1b '!$G$34))*(C159-'B1b '!$G$34),0))</f>
        <v>0</v>
      </c>
      <c r="E159" s="448"/>
      <c r="F159" s="452"/>
      <c r="G159" s="452"/>
      <c r="H159" s="448"/>
      <c r="I159" s="452"/>
      <c r="J159" s="452"/>
      <c r="K159" s="448"/>
      <c r="L159" s="452">
        <v>65</v>
      </c>
      <c r="M159" s="452">
        <f>IF(L159&lt;='B1b '!$G$41,'B1b '!$H$41,IF(AND(L159&lt;='B1b '!$G$40,L159&gt;'B1b '!$G$41),0+(('B1b '!$H$41-'B1b '!$H$40)/('B1b '!$G$41-'B1b '!$G$40))*(L159-'B1b '!$G$40),0))</f>
        <v>81.739130434782609</v>
      </c>
      <c r="N159" s="448"/>
      <c r="O159" s="452"/>
      <c r="P159" s="452"/>
      <c r="Q159" s="446"/>
    </row>
    <row r="160" spans="2:17">
      <c r="B160" s="446"/>
      <c r="C160" s="452">
        <v>66</v>
      </c>
      <c r="D160" s="452">
        <f>IF(C160&lt;='B1b '!$G$35,'B1b '!$H$35,IF(AND(C160&lt;='B1b '!$G$34,C160&gt;'B1b '!$G$35),0+(('B1b '!$H$35-'B1b '!$H$34)/('B1b '!$G$35-'B1b '!$G$34))*(C160-'B1b '!$G$34),0))</f>
        <v>0</v>
      </c>
      <c r="E160" s="448"/>
      <c r="F160" s="452"/>
      <c r="G160" s="452"/>
      <c r="H160" s="448"/>
      <c r="I160" s="452"/>
      <c r="J160" s="452"/>
      <c r="K160" s="448"/>
      <c r="L160" s="452">
        <v>66</v>
      </c>
      <c r="M160" s="452">
        <f>IF(L160&lt;='B1b '!$G$41,'B1b '!$H$41,IF(AND(L160&lt;='B1b '!$G$40,L160&gt;'B1b '!$G$41),0+(('B1b '!$H$41-'B1b '!$H$40)/('B1b '!$G$41-'B1b '!$G$40))*(L160-'B1b '!$G$40),0))</f>
        <v>80</v>
      </c>
      <c r="N160" s="448"/>
      <c r="O160" s="452"/>
      <c r="P160" s="452"/>
      <c r="Q160" s="446"/>
    </row>
    <row r="161" spans="2:17">
      <c r="B161" s="446"/>
      <c r="C161" s="452">
        <v>67</v>
      </c>
      <c r="D161" s="452">
        <f>IF(C161&lt;='B1b '!$G$35,'B1b '!$H$35,IF(AND(C161&lt;='B1b '!$G$34,C161&gt;'B1b '!$G$35),0+(('B1b '!$H$35-'B1b '!$H$34)/('B1b '!$G$35-'B1b '!$G$34))*(C161-'B1b '!$G$34),0))</f>
        <v>0</v>
      </c>
      <c r="E161" s="448"/>
      <c r="F161" s="452"/>
      <c r="G161" s="452"/>
      <c r="H161" s="448"/>
      <c r="I161" s="452"/>
      <c r="J161" s="452"/>
      <c r="K161" s="448"/>
      <c r="L161" s="452">
        <v>67</v>
      </c>
      <c r="M161" s="452">
        <f>IF(L161&lt;='B1b '!$G$41,'B1b '!$H$41,IF(AND(L161&lt;='B1b '!$G$40,L161&gt;'B1b '!$G$41),0+(('B1b '!$H$41-'B1b '!$H$40)/('B1b '!$G$41-'B1b '!$G$40))*(L161-'B1b '!$G$40),0))</f>
        <v>78.260869565217391</v>
      </c>
      <c r="N161" s="448"/>
      <c r="O161" s="452"/>
      <c r="P161" s="452"/>
      <c r="Q161" s="446"/>
    </row>
    <row r="162" spans="2:17">
      <c r="B162" s="446"/>
      <c r="C162" s="452">
        <v>68</v>
      </c>
      <c r="D162" s="452">
        <f>IF(C162&lt;='B1b '!$G$35,'B1b '!$H$35,IF(AND(C162&lt;='B1b '!$G$34,C162&gt;'B1b '!$G$35),0+(('B1b '!$H$35-'B1b '!$H$34)/('B1b '!$G$35-'B1b '!$G$34))*(C162-'B1b '!$G$34),0))</f>
        <v>0</v>
      </c>
      <c r="E162" s="448"/>
      <c r="F162" s="452"/>
      <c r="G162" s="452"/>
      <c r="H162" s="448"/>
      <c r="I162" s="452"/>
      <c r="J162" s="452"/>
      <c r="K162" s="448"/>
      <c r="L162" s="452">
        <v>68</v>
      </c>
      <c r="M162" s="452">
        <f>IF(L162&lt;='B1b '!$G$41,'B1b '!$H$41,IF(AND(L162&lt;='B1b '!$G$40,L162&gt;'B1b '!$G$41),0+(('B1b '!$H$41-'B1b '!$H$40)/('B1b '!$G$41-'B1b '!$G$40))*(L162-'B1b '!$G$40),0))</f>
        <v>76.521739130434781</v>
      </c>
      <c r="N162" s="448"/>
      <c r="O162" s="452"/>
      <c r="P162" s="452"/>
      <c r="Q162" s="446"/>
    </row>
    <row r="163" spans="2:17">
      <c r="B163" s="446"/>
      <c r="C163" s="452">
        <v>69</v>
      </c>
      <c r="D163" s="452">
        <f>IF(C163&lt;='B1b '!$G$35,'B1b '!$H$35,IF(AND(C163&lt;='B1b '!$G$34,C163&gt;'B1b '!$G$35),0+(('B1b '!$H$35-'B1b '!$H$34)/('B1b '!$G$35-'B1b '!$G$34))*(C163-'B1b '!$G$34),0))</f>
        <v>0</v>
      </c>
      <c r="E163" s="448"/>
      <c r="F163" s="452"/>
      <c r="G163" s="452"/>
      <c r="H163" s="448"/>
      <c r="I163" s="452"/>
      <c r="J163" s="452"/>
      <c r="K163" s="448"/>
      <c r="L163" s="452">
        <v>69</v>
      </c>
      <c r="M163" s="452">
        <f>IF(L163&lt;='B1b '!$G$41,'B1b '!$H$41,IF(AND(L163&lt;='B1b '!$G$40,L163&gt;'B1b '!$G$41),0+(('B1b '!$H$41-'B1b '!$H$40)/('B1b '!$G$41-'B1b '!$G$40))*(L163-'B1b '!$G$40),0))</f>
        <v>74.782608695652172</v>
      </c>
      <c r="N163" s="448"/>
      <c r="O163" s="452"/>
      <c r="P163" s="452"/>
      <c r="Q163" s="446"/>
    </row>
    <row r="164" spans="2:17">
      <c r="B164" s="446"/>
      <c r="C164" s="452">
        <v>70</v>
      </c>
      <c r="D164" s="452">
        <f>IF(C164&lt;='B1b '!$G$35,'B1b '!$H$35,IF(AND(C164&lt;='B1b '!$G$34,C164&gt;'B1b '!$G$35),0+(('B1b '!$H$35-'B1b '!$H$34)/('B1b '!$G$35-'B1b '!$G$34))*(C164-'B1b '!$G$34),0))</f>
        <v>0</v>
      </c>
      <c r="E164" s="448"/>
      <c r="F164" s="452"/>
      <c r="G164" s="452"/>
      <c r="H164" s="448"/>
      <c r="I164" s="452"/>
      <c r="J164" s="452"/>
      <c r="K164" s="448"/>
      <c r="L164" s="452">
        <v>70</v>
      </c>
      <c r="M164" s="452">
        <f>IF(L164&lt;='B1b '!$G$41,'B1b '!$H$41,IF(AND(L164&lt;='B1b '!$G$40,L164&gt;'B1b '!$G$41),0+(('B1b '!$H$41-'B1b '!$H$40)/('B1b '!$G$41-'B1b '!$G$40))*(L164-'B1b '!$G$40),0))</f>
        <v>73.043478260869563</v>
      </c>
      <c r="N164" s="448"/>
      <c r="O164" s="452"/>
      <c r="P164" s="452"/>
      <c r="Q164" s="446"/>
    </row>
    <row r="165" spans="2:17">
      <c r="B165" s="446"/>
      <c r="C165" s="452">
        <v>71</v>
      </c>
      <c r="D165" s="452">
        <f>IF(C165&lt;='B1b '!$G$35,'B1b '!$H$35,IF(AND(C165&lt;='B1b '!$G$34,C165&gt;'B1b '!$G$35),0+(('B1b '!$H$35-'B1b '!$H$34)/('B1b '!$G$35-'B1b '!$G$34))*(C165-'B1b '!$G$34),0))</f>
        <v>0</v>
      </c>
      <c r="E165" s="448"/>
      <c r="F165" s="452"/>
      <c r="G165" s="452"/>
      <c r="H165" s="448"/>
      <c r="I165" s="452"/>
      <c r="J165" s="452"/>
      <c r="K165" s="448"/>
      <c r="L165" s="452">
        <v>71</v>
      </c>
      <c r="M165" s="452">
        <f>IF(L165&lt;='B1b '!$G$41,'B1b '!$H$41,IF(AND(L165&lt;='B1b '!$G$40,L165&gt;'B1b '!$G$41),0+(('B1b '!$H$41-'B1b '!$H$40)/('B1b '!$G$41-'B1b '!$G$40))*(L165-'B1b '!$G$40),0))</f>
        <v>71.304347826086953</v>
      </c>
      <c r="N165" s="448"/>
      <c r="O165" s="452"/>
      <c r="P165" s="452"/>
      <c r="Q165" s="446"/>
    </row>
    <row r="166" spans="2:17">
      <c r="B166" s="446"/>
      <c r="C166" s="452">
        <v>72</v>
      </c>
      <c r="D166" s="452">
        <f>IF(C166&lt;='B1b '!$G$35,'B1b '!$H$35,IF(AND(C166&lt;='B1b '!$G$34,C166&gt;'B1b '!$G$35),0+(('B1b '!$H$35-'B1b '!$H$34)/('B1b '!$G$35-'B1b '!$G$34))*(C166-'B1b '!$G$34),0))</f>
        <v>0</v>
      </c>
      <c r="E166" s="448"/>
      <c r="F166" s="452"/>
      <c r="G166" s="452"/>
      <c r="H166" s="448"/>
      <c r="I166" s="452"/>
      <c r="J166" s="452"/>
      <c r="K166" s="448"/>
      <c r="L166" s="452">
        <v>72</v>
      </c>
      <c r="M166" s="452">
        <f>IF(L166&lt;='B1b '!$G$41,'B1b '!$H$41,IF(AND(L166&lt;='B1b '!$G$40,L166&gt;'B1b '!$G$41),0+(('B1b '!$H$41-'B1b '!$H$40)/('B1b '!$G$41-'B1b '!$G$40))*(L166-'B1b '!$G$40),0))</f>
        <v>69.565217391304344</v>
      </c>
      <c r="N166" s="448"/>
      <c r="O166" s="452"/>
      <c r="P166" s="452"/>
      <c r="Q166" s="446"/>
    </row>
    <row r="167" spans="2:17">
      <c r="B167" s="446"/>
      <c r="C167" s="452">
        <v>73</v>
      </c>
      <c r="D167" s="452">
        <f>IF(C167&lt;='B1b '!$G$35,'B1b '!$H$35,IF(AND(C167&lt;='B1b '!$G$34,C167&gt;'B1b '!$G$35),0+(('B1b '!$H$35-'B1b '!$H$34)/('B1b '!$G$35-'B1b '!$G$34))*(C167-'B1b '!$G$34),0))</f>
        <v>0</v>
      </c>
      <c r="E167" s="448"/>
      <c r="F167" s="452"/>
      <c r="G167" s="452"/>
      <c r="H167" s="448"/>
      <c r="I167" s="452"/>
      <c r="J167" s="452"/>
      <c r="K167" s="448"/>
      <c r="L167" s="452">
        <v>73</v>
      </c>
      <c r="M167" s="452">
        <f>IF(L167&lt;='B1b '!$G$41,'B1b '!$H$41,IF(AND(L167&lt;='B1b '!$G$40,L167&gt;'B1b '!$G$41),0+(('B1b '!$H$41-'B1b '!$H$40)/('B1b '!$G$41-'B1b '!$G$40))*(L167-'B1b '!$G$40),0))</f>
        <v>67.826086956521735</v>
      </c>
      <c r="N167" s="448"/>
      <c r="O167" s="452"/>
      <c r="P167" s="452"/>
      <c r="Q167" s="446"/>
    </row>
    <row r="168" spans="2:17">
      <c r="B168" s="446"/>
      <c r="C168" s="452">
        <v>74</v>
      </c>
      <c r="D168" s="452">
        <f>IF(C168&lt;='B1b '!$G$35,'B1b '!$H$35,IF(AND(C168&lt;='B1b '!$G$34,C168&gt;'B1b '!$G$35),0+(('B1b '!$H$35-'B1b '!$H$34)/('B1b '!$G$35-'B1b '!$G$34))*(C168-'B1b '!$G$34),0))</f>
        <v>0</v>
      </c>
      <c r="E168" s="448"/>
      <c r="F168" s="452"/>
      <c r="G168" s="452"/>
      <c r="H168" s="448"/>
      <c r="I168" s="452"/>
      <c r="J168" s="452"/>
      <c r="K168" s="448"/>
      <c r="L168" s="452">
        <v>74</v>
      </c>
      <c r="M168" s="452">
        <f>IF(L168&lt;='B1b '!$G$41,'B1b '!$H$41,IF(AND(L168&lt;='B1b '!$G$40,L168&gt;'B1b '!$G$41),0+(('B1b '!$H$41-'B1b '!$H$40)/('B1b '!$G$41-'B1b '!$G$40))*(L168-'B1b '!$G$40),0))</f>
        <v>66.086956521739125</v>
      </c>
      <c r="N168" s="448"/>
      <c r="O168" s="452"/>
      <c r="P168" s="452"/>
      <c r="Q168" s="446"/>
    </row>
    <row r="169" spans="2:17">
      <c r="B169" s="446"/>
      <c r="C169" s="452">
        <v>75</v>
      </c>
      <c r="D169" s="452">
        <f>IF(C169&lt;='B1b '!$G$35,'B1b '!$H$35,IF(AND(C169&lt;='B1b '!$G$34,C169&gt;'B1b '!$G$35),0+(('B1b '!$H$35-'B1b '!$H$34)/('B1b '!$G$35-'B1b '!$G$34))*(C169-'B1b '!$G$34),0))</f>
        <v>0</v>
      </c>
      <c r="E169" s="448"/>
      <c r="F169" s="452"/>
      <c r="G169" s="452"/>
      <c r="H169" s="448"/>
      <c r="I169" s="452"/>
      <c r="J169" s="452"/>
      <c r="K169" s="448"/>
      <c r="L169" s="452">
        <v>75</v>
      </c>
      <c r="M169" s="452">
        <f>IF(L169&lt;='B1b '!$G$41,'B1b '!$H$41,IF(AND(L169&lt;='B1b '!$G$40,L169&gt;'B1b '!$G$41),0+(('B1b '!$H$41-'B1b '!$H$40)/('B1b '!$G$41-'B1b '!$G$40))*(L169-'B1b '!$G$40),0))</f>
        <v>64.347826086956516</v>
      </c>
      <c r="N169" s="448"/>
      <c r="O169" s="452"/>
      <c r="P169" s="452"/>
      <c r="Q169" s="446"/>
    </row>
    <row r="170" spans="2:17">
      <c r="B170" s="446"/>
      <c r="C170" s="452">
        <v>76</v>
      </c>
      <c r="D170" s="452">
        <f>IF(C170&lt;='B1b '!$G$35,'B1b '!$H$35,IF(AND(C170&lt;='B1b '!$G$34,C170&gt;'B1b '!$G$35),0+(('B1b '!$H$35-'B1b '!$H$34)/('B1b '!$G$35-'B1b '!$G$34))*(C170-'B1b '!$G$34),0))</f>
        <v>0</v>
      </c>
      <c r="E170" s="448"/>
      <c r="F170" s="452"/>
      <c r="G170" s="452"/>
      <c r="H170" s="448"/>
      <c r="I170" s="452"/>
      <c r="J170" s="452"/>
      <c r="K170" s="448"/>
      <c r="L170" s="452">
        <v>76</v>
      </c>
      <c r="M170" s="452">
        <f>IF(L170&lt;='B1b '!$G$41,'B1b '!$H$41,IF(AND(L170&lt;='B1b '!$G$40,L170&gt;'B1b '!$G$41),0+(('B1b '!$H$41-'B1b '!$H$40)/('B1b '!$G$41-'B1b '!$G$40))*(L170-'B1b '!$G$40),0))</f>
        <v>62.608695652173914</v>
      </c>
      <c r="N170" s="448"/>
      <c r="O170" s="452"/>
      <c r="P170" s="452"/>
      <c r="Q170" s="446"/>
    </row>
    <row r="171" spans="2:17">
      <c r="B171" s="446"/>
      <c r="C171" s="452">
        <v>77</v>
      </c>
      <c r="D171" s="452">
        <f>IF(C171&lt;='B1b '!$G$35,'B1b '!$H$35,IF(AND(C171&lt;='B1b '!$G$34,C171&gt;'B1b '!$G$35),0+(('B1b '!$H$35-'B1b '!$H$34)/('B1b '!$G$35-'B1b '!$G$34))*(C171-'B1b '!$G$34),0))</f>
        <v>0</v>
      </c>
      <c r="E171" s="448"/>
      <c r="F171" s="452"/>
      <c r="G171" s="452"/>
      <c r="H171" s="448"/>
      <c r="I171" s="452"/>
      <c r="J171" s="452"/>
      <c r="K171" s="448"/>
      <c r="L171" s="452">
        <v>77</v>
      </c>
      <c r="M171" s="452">
        <f>IF(L171&lt;='B1b '!$G$41,'B1b '!$H$41,IF(AND(L171&lt;='B1b '!$G$40,L171&gt;'B1b '!$G$41),0+(('B1b '!$H$41-'B1b '!$H$40)/('B1b '!$G$41-'B1b '!$G$40))*(L171-'B1b '!$G$40),0))</f>
        <v>60.869565217391305</v>
      </c>
      <c r="N171" s="448"/>
      <c r="O171" s="452"/>
      <c r="P171" s="452"/>
      <c r="Q171" s="446"/>
    </row>
    <row r="172" spans="2:17">
      <c r="B172" s="446"/>
      <c r="C172" s="452"/>
      <c r="D172" s="452"/>
      <c r="E172" s="448"/>
      <c r="F172" s="452"/>
      <c r="G172" s="452"/>
      <c r="H172" s="448"/>
      <c r="I172" s="452"/>
      <c r="J172" s="452"/>
      <c r="K172" s="448"/>
      <c r="L172" s="452">
        <v>78</v>
      </c>
      <c r="M172" s="452">
        <f>IF(L172&lt;='B1b '!$G$41,'B1b '!$H$41,IF(AND(L172&lt;='B1b '!$G$40,L172&gt;'B1b '!$G$41),0+(('B1b '!$H$41-'B1b '!$H$40)/('B1b '!$G$41-'B1b '!$G$40))*(L172-'B1b '!$G$40),0))</f>
        <v>59.130434782608695</v>
      </c>
      <c r="N172" s="448"/>
      <c r="O172" s="452"/>
      <c r="P172" s="452"/>
      <c r="Q172" s="446"/>
    </row>
    <row r="173" spans="2:17">
      <c r="B173" s="446"/>
      <c r="C173" s="452"/>
      <c r="D173" s="452"/>
      <c r="E173" s="448"/>
      <c r="F173" s="452"/>
      <c r="G173" s="452"/>
      <c r="H173" s="448"/>
      <c r="I173" s="452"/>
      <c r="J173" s="452"/>
      <c r="K173" s="448"/>
      <c r="L173" s="452">
        <v>79</v>
      </c>
      <c r="M173" s="452">
        <f>IF(L173&lt;='B1b '!$G$41,'B1b '!$H$41,IF(AND(L173&lt;='B1b '!$G$40,L173&gt;'B1b '!$G$41),0+(('B1b '!$H$41-'B1b '!$H$40)/('B1b '!$G$41-'B1b '!$G$40))*(L173-'B1b '!$G$40),0))</f>
        <v>57.391304347826086</v>
      </c>
      <c r="N173" s="448"/>
      <c r="O173" s="452"/>
      <c r="P173" s="452"/>
      <c r="Q173" s="446"/>
    </row>
    <row r="174" spans="2:17">
      <c r="B174" s="446"/>
      <c r="C174" s="452"/>
      <c r="D174" s="452"/>
      <c r="E174" s="448"/>
      <c r="F174" s="452"/>
      <c r="G174" s="452"/>
      <c r="H174" s="448"/>
      <c r="I174" s="452"/>
      <c r="J174" s="452"/>
      <c r="K174" s="448"/>
      <c r="L174" s="452">
        <v>80</v>
      </c>
      <c r="M174" s="452">
        <f>IF(L174&lt;='B1b '!$G$41,'B1b '!$H$41,IF(AND(L174&lt;='B1b '!$G$40,L174&gt;'B1b '!$G$41),0+(('B1b '!$H$41-'B1b '!$H$40)/('B1b '!$G$41-'B1b '!$G$40))*(L174-'B1b '!$G$40),0))</f>
        <v>55.652173913043477</v>
      </c>
      <c r="N174" s="448"/>
      <c r="O174" s="452"/>
      <c r="P174" s="452"/>
      <c r="Q174" s="446"/>
    </row>
    <row r="175" spans="2:17">
      <c r="B175" s="446"/>
      <c r="C175" s="452"/>
      <c r="D175" s="452"/>
      <c r="E175" s="448"/>
      <c r="F175" s="452"/>
      <c r="G175" s="452"/>
      <c r="H175" s="448"/>
      <c r="I175" s="452"/>
      <c r="J175" s="452"/>
      <c r="K175" s="448"/>
      <c r="L175" s="452">
        <v>81</v>
      </c>
      <c r="M175" s="452">
        <f>IF(L175&lt;='B1b '!$G$41,'B1b '!$H$41,IF(AND(L175&lt;='B1b '!$G$40,L175&gt;'B1b '!$G$41),0+(('B1b '!$H$41-'B1b '!$H$40)/('B1b '!$G$41-'B1b '!$G$40))*(L175-'B1b '!$G$40),0))</f>
        <v>53.913043478260867</v>
      </c>
      <c r="N175" s="448"/>
      <c r="O175" s="452"/>
      <c r="P175" s="452"/>
      <c r="Q175" s="446"/>
    </row>
    <row r="176" spans="2:17">
      <c r="B176" s="446"/>
      <c r="C176" s="452"/>
      <c r="D176" s="452"/>
      <c r="E176" s="448"/>
      <c r="F176" s="452"/>
      <c r="G176" s="452"/>
      <c r="H176" s="448"/>
      <c r="I176" s="452"/>
      <c r="J176" s="452"/>
      <c r="K176" s="448"/>
      <c r="L176" s="452">
        <v>82</v>
      </c>
      <c r="M176" s="452">
        <f>IF(L176&lt;='B1b '!$G$41,'B1b '!$H$41,IF(AND(L176&lt;='B1b '!$G$40,L176&gt;'B1b '!$G$41),0+(('B1b '!$H$41-'B1b '!$H$40)/('B1b '!$G$41-'B1b '!$G$40))*(L176-'B1b '!$G$40),0))</f>
        <v>52.173913043478258</v>
      </c>
      <c r="N176" s="448"/>
      <c r="O176" s="452"/>
      <c r="P176" s="452"/>
      <c r="Q176" s="446"/>
    </row>
    <row r="177" spans="2:17">
      <c r="B177" s="446"/>
      <c r="C177" s="452"/>
      <c r="D177" s="452"/>
      <c r="E177" s="448"/>
      <c r="F177" s="452"/>
      <c r="G177" s="452"/>
      <c r="H177" s="448"/>
      <c r="I177" s="452"/>
      <c r="J177" s="452"/>
      <c r="K177" s="448"/>
      <c r="L177" s="452">
        <v>83</v>
      </c>
      <c r="M177" s="452">
        <f>IF(L177&lt;='B1b '!$G$41,'B1b '!$H$41,IF(AND(L177&lt;='B1b '!$G$40,L177&gt;'B1b '!$G$41),0+(('B1b '!$H$41-'B1b '!$H$40)/('B1b '!$G$41-'B1b '!$G$40))*(L177-'B1b '!$G$40),0))</f>
        <v>50.434782608695649</v>
      </c>
      <c r="N177" s="448"/>
      <c r="O177" s="452"/>
      <c r="P177" s="452"/>
      <c r="Q177" s="446"/>
    </row>
    <row r="178" spans="2:17">
      <c r="B178" s="446"/>
      <c r="C178" s="452"/>
      <c r="D178" s="452"/>
      <c r="E178" s="448"/>
      <c r="F178" s="452"/>
      <c r="G178" s="452"/>
      <c r="H178" s="448"/>
      <c r="I178" s="452"/>
      <c r="J178" s="452"/>
      <c r="K178" s="448"/>
      <c r="L178" s="452">
        <v>84</v>
      </c>
      <c r="M178" s="452">
        <f>IF(L178&lt;='B1b '!$G$41,'B1b '!$H$41,IF(AND(L178&lt;='B1b '!$G$40,L178&gt;'B1b '!$G$41),0+(('B1b '!$H$41-'B1b '!$H$40)/('B1b '!$G$41-'B1b '!$G$40))*(L178-'B1b '!$G$40),0))</f>
        <v>48.695652173913039</v>
      </c>
      <c r="N178" s="448"/>
      <c r="O178" s="452"/>
      <c r="P178" s="452"/>
      <c r="Q178" s="446"/>
    </row>
    <row r="179" spans="2:17">
      <c r="B179" s="446"/>
      <c r="C179" s="452"/>
      <c r="D179" s="452"/>
      <c r="E179" s="448"/>
      <c r="F179" s="452"/>
      <c r="G179" s="452"/>
      <c r="H179" s="448"/>
      <c r="I179" s="452"/>
      <c r="J179" s="452"/>
      <c r="K179" s="448"/>
      <c r="L179" s="452">
        <v>85</v>
      </c>
      <c r="M179" s="452">
        <f>IF(L179&lt;='B1b '!$G$41,'B1b '!$H$41,IF(AND(L179&lt;='B1b '!$G$40,L179&gt;'B1b '!$G$41),0+(('B1b '!$H$41-'B1b '!$H$40)/('B1b '!$G$41-'B1b '!$G$40))*(L179-'B1b '!$G$40),0))</f>
        <v>46.95652173913043</v>
      </c>
      <c r="N179" s="448"/>
      <c r="O179" s="452"/>
      <c r="P179" s="452"/>
      <c r="Q179" s="446"/>
    </row>
    <row r="180" spans="2:17">
      <c r="B180" s="446"/>
      <c r="C180" s="452"/>
      <c r="D180" s="452"/>
      <c r="E180" s="448"/>
      <c r="F180" s="452"/>
      <c r="G180" s="452"/>
      <c r="H180" s="448"/>
      <c r="I180" s="452"/>
      <c r="J180" s="452"/>
      <c r="K180" s="448"/>
      <c r="L180" s="452">
        <v>86</v>
      </c>
      <c r="M180" s="452">
        <f>IF(L180&lt;='B1b '!$G$41,'B1b '!$H$41,IF(AND(L180&lt;='B1b '!$G$40,L180&gt;'B1b '!$G$41),0+(('B1b '!$H$41-'B1b '!$H$40)/('B1b '!$G$41-'B1b '!$G$40))*(L180-'B1b '!$G$40),0))</f>
        <v>45.217391304347828</v>
      </c>
      <c r="N180" s="448"/>
      <c r="O180" s="452"/>
      <c r="P180" s="452"/>
      <c r="Q180" s="446"/>
    </row>
    <row r="181" spans="2:17">
      <c r="B181" s="446"/>
      <c r="C181" s="452"/>
      <c r="D181" s="452"/>
      <c r="E181" s="448"/>
      <c r="F181" s="452"/>
      <c r="G181" s="452"/>
      <c r="H181" s="448"/>
      <c r="I181" s="452"/>
      <c r="J181" s="452"/>
      <c r="K181" s="448"/>
      <c r="L181" s="452">
        <v>87</v>
      </c>
      <c r="M181" s="452">
        <f>IF(L181&lt;='B1b '!$G$41,'B1b '!$H$41,IF(AND(L181&lt;='B1b '!$G$40,L181&gt;'B1b '!$G$41),0+(('B1b '!$H$41-'B1b '!$H$40)/('B1b '!$G$41-'B1b '!$G$40))*(L181-'B1b '!$G$40),0))</f>
        <v>43.478260869565219</v>
      </c>
      <c r="N181" s="448"/>
      <c r="O181" s="452"/>
      <c r="P181" s="452"/>
      <c r="Q181" s="446"/>
    </row>
    <row r="182" spans="2:17">
      <c r="B182" s="446"/>
      <c r="C182" s="452"/>
      <c r="D182" s="452"/>
      <c r="E182" s="448"/>
      <c r="F182" s="452"/>
      <c r="G182" s="452"/>
      <c r="H182" s="448"/>
      <c r="I182" s="452"/>
      <c r="J182" s="452"/>
      <c r="K182" s="448"/>
      <c r="L182" s="452">
        <v>88</v>
      </c>
      <c r="M182" s="452">
        <f>IF(L182&lt;='B1b '!$G$41,'B1b '!$H$41,IF(AND(L182&lt;='B1b '!$G$40,L182&gt;'B1b '!$G$41),0+(('B1b '!$H$41-'B1b '!$H$40)/('B1b '!$G$41-'B1b '!$G$40))*(L182-'B1b '!$G$40),0))</f>
        <v>41.739130434782609</v>
      </c>
      <c r="N182" s="448"/>
      <c r="O182" s="452"/>
      <c r="P182" s="452"/>
      <c r="Q182" s="446"/>
    </row>
    <row r="183" spans="2:17">
      <c r="B183" s="446"/>
      <c r="C183" s="452"/>
      <c r="D183" s="452"/>
      <c r="E183" s="448"/>
      <c r="F183" s="452"/>
      <c r="G183" s="452"/>
      <c r="H183" s="448"/>
      <c r="I183" s="452"/>
      <c r="J183" s="452"/>
      <c r="K183" s="448"/>
      <c r="L183" s="452">
        <v>89</v>
      </c>
      <c r="M183" s="452">
        <f>IF(L183&lt;='B1b '!$G$41,'B1b '!$H$41,IF(AND(L183&lt;='B1b '!$G$40,L183&gt;'B1b '!$G$41),0+(('B1b '!$H$41-'B1b '!$H$40)/('B1b '!$G$41-'B1b '!$G$40))*(L183-'B1b '!$G$40),0))</f>
        <v>40</v>
      </c>
      <c r="N183" s="448"/>
      <c r="O183" s="452"/>
      <c r="P183" s="452"/>
      <c r="Q183" s="446"/>
    </row>
    <row r="184" spans="2:17">
      <c r="B184" s="446"/>
      <c r="C184" s="452"/>
      <c r="D184" s="452"/>
      <c r="E184" s="448"/>
      <c r="F184" s="452"/>
      <c r="G184" s="452"/>
      <c r="H184" s="448"/>
      <c r="I184" s="452"/>
      <c r="J184" s="452"/>
      <c r="K184" s="448"/>
      <c r="L184" s="452">
        <v>90</v>
      </c>
      <c r="M184" s="452">
        <f>IF(L184&lt;='B1b '!$G$41,'B1b '!$H$41,IF(AND(L184&lt;='B1b '!$G$40,L184&gt;'B1b '!$G$41),0+(('B1b '!$H$41-'B1b '!$H$40)/('B1b '!$G$41-'B1b '!$G$40))*(L184-'B1b '!$G$40),0))</f>
        <v>38.260869565217391</v>
      </c>
      <c r="N184" s="448"/>
      <c r="O184" s="452"/>
      <c r="P184" s="452"/>
      <c r="Q184" s="446"/>
    </row>
    <row r="185" spans="2:17">
      <c r="B185" s="446"/>
      <c r="C185" s="452"/>
      <c r="D185" s="452"/>
      <c r="E185" s="448"/>
      <c r="F185" s="452"/>
      <c r="G185" s="452"/>
      <c r="H185" s="448"/>
      <c r="I185" s="452"/>
      <c r="J185" s="452"/>
      <c r="K185" s="448"/>
      <c r="L185" s="452">
        <v>91</v>
      </c>
      <c r="M185" s="452">
        <f>IF(L185&lt;='B1b '!$G$41,'B1b '!$H$41,IF(AND(L185&lt;='B1b '!$G$40,L185&gt;'B1b '!$G$41),0+(('B1b '!$H$41-'B1b '!$H$40)/('B1b '!$G$41-'B1b '!$G$40))*(L185-'B1b '!$G$40),0))</f>
        <v>36.521739130434781</v>
      </c>
      <c r="N185" s="448"/>
      <c r="O185" s="452"/>
      <c r="P185" s="452"/>
      <c r="Q185" s="446"/>
    </row>
    <row r="186" spans="2:17">
      <c r="B186" s="446"/>
      <c r="C186" s="452"/>
      <c r="D186" s="452"/>
      <c r="E186" s="448"/>
      <c r="F186" s="452"/>
      <c r="G186" s="452"/>
      <c r="H186" s="448"/>
      <c r="I186" s="452"/>
      <c r="J186" s="452"/>
      <c r="K186" s="448"/>
      <c r="L186" s="452">
        <v>92</v>
      </c>
      <c r="M186" s="452">
        <f>IF(L186&lt;='B1b '!$G$41,'B1b '!$H$41,IF(AND(L186&lt;='B1b '!$G$40,L186&gt;'B1b '!$G$41),0+(('B1b '!$H$41-'B1b '!$H$40)/('B1b '!$G$41-'B1b '!$G$40))*(L186-'B1b '!$G$40),0))</f>
        <v>34.782608695652172</v>
      </c>
      <c r="N186" s="448"/>
      <c r="O186" s="452"/>
      <c r="P186" s="452"/>
      <c r="Q186" s="446"/>
    </row>
    <row r="187" spans="2:17">
      <c r="B187" s="446"/>
      <c r="C187" s="452"/>
      <c r="D187" s="452"/>
      <c r="E187" s="448"/>
      <c r="F187" s="452"/>
      <c r="G187" s="452"/>
      <c r="H187" s="448"/>
      <c r="I187" s="452"/>
      <c r="J187" s="452"/>
      <c r="K187" s="448"/>
      <c r="L187" s="452">
        <v>93</v>
      </c>
      <c r="M187" s="452">
        <f>IF(L187&lt;='B1b '!$G$41,'B1b '!$H$41,IF(AND(L187&lt;='B1b '!$G$40,L187&gt;'B1b '!$G$41),0+(('B1b '!$H$41-'B1b '!$H$40)/('B1b '!$G$41-'B1b '!$G$40))*(L187-'B1b '!$G$40),0))</f>
        <v>33.043478260869563</v>
      </c>
      <c r="N187" s="448"/>
      <c r="O187" s="452"/>
      <c r="P187" s="452"/>
      <c r="Q187" s="446"/>
    </row>
    <row r="188" spans="2:17">
      <c r="B188" s="446"/>
      <c r="C188" s="452"/>
      <c r="D188" s="452"/>
      <c r="E188" s="448"/>
      <c r="F188" s="452"/>
      <c r="G188" s="452"/>
      <c r="H188" s="448"/>
      <c r="I188" s="452"/>
      <c r="J188" s="452"/>
      <c r="K188" s="448"/>
      <c r="L188" s="452">
        <v>94</v>
      </c>
      <c r="M188" s="452">
        <f>IF(L188&lt;='B1b '!$G$41,'B1b '!$H$41,IF(AND(L188&lt;='B1b '!$G$40,L188&gt;'B1b '!$G$41),0+(('B1b '!$H$41-'B1b '!$H$40)/('B1b '!$G$41-'B1b '!$G$40))*(L188-'B1b '!$G$40),0))</f>
        <v>31.304347826086957</v>
      </c>
      <c r="N188" s="448"/>
      <c r="O188" s="452"/>
      <c r="P188" s="452"/>
      <c r="Q188" s="446"/>
    </row>
    <row r="189" spans="2:17">
      <c r="B189" s="446"/>
      <c r="C189" s="452"/>
      <c r="D189" s="452"/>
      <c r="E189" s="448"/>
      <c r="F189" s="452"/>
      <c r="G189" s="452"/>
      <c r="H189" s="448"/>
      <c r="I189" s="452"/>
      <c r="J189" s="452"/>
      <c r="K189" s="448"/>
      <c r="L189" s="452">
        <v>95</v>
      </c>
      <c r="M189" s="452">
        <f>IF(L189&lt;='B1b '!$G$41,'B1b '!$H$41,IF(AND(L189&lt;='B1b '!$G$40,L189&gt;'B1b '!$G$41),0+(('B1b '!$H$41-'B1b '!$H$40)/('B1b '!$G$41-'B1b '!$G$40))*(L189-'B1b '!$G$40),0))</f>
        <v>29.565217391304348</v>
      </c>
      <c r="N189" s="448"/>
      <c r="O189" s="452"/>
      <c r="P189" s="452"/>
      <c r="Q189" s="446"/>
    </row>
    <row r="190" spans="2:17">
      <c r="B190" s="446"/>
      <c r="C190" s="452"/>
      <c r="D190" s="452"/>
      <c r="E190" s="448"/>
      <c r="F190" s="452"/>
      <c r="G190" s="452"/>
      <c r="H190" s="448"/>
      <c r="I190" s="452"/>
      <c r="J190" s="452"/>
      <c r="K190" s="448"/>
      <c r="L190" s="452">
        <v>96</v>
      </c>
      <c r="M190" s="452">
        <f>IF(L190&lt;='B1b '!$G$41,'B1b '!$H$41,IF(AND(L190&lt;='B1b '!$G$40,L190&gt;'B1b '!$G$41),0+(('B1b '!$H$41-'B1b '!$H$40)/('B1b '!$G$41-'B1b '!$G$40))*(L190-'B1b '!$G$40),0))</f>
        <v>27.826086956521738</v>
      </c>
      <c r="N190" s="448"/>
      <c r="O190" s="452"/>
      <c r="P190" s="452"/>
      <c r="Q190" s="446"/>
    </row>
    <row r="191" spans="2:17">
      <c r="B191" s="446"/>
      <c r="C191" s="452"/>
      <c r="D191" s="452"/>
      <c r="E191" s="448"/>
      <c r="F191" s="452"/>
      <c r="G191" s="452"/>
      <c r="H191" s="448"/>
      <c r="I191" s="452"/>
      <c r="J191" s="452"/>
      <c r="K191" s="448"/>
      <c r="L191" s="452">
        <v>97</v>
      </c>
      <c r="M191" s="452">
        <f>IF(L191&lt;='B1b '!$G$41,'B1b '!$H$41,IF(AND(L191&lt;='B1b '!$G$40,L191&gt;'B1b '!$G$41),0+(('B1b '!$H$41-'B1b '!$H$40)/('B1b '!$G$41-'B1b '!$G$40))*(L191-'B1b '!$G$40),0))</f>
        <v>26.086956521739129</v>
      </c>
      <c r="N191" s="448"/>
      <c r="O191" s="452"/>
      <c r="P191" s="452"/>
      <c r="Q191" s="446"/>
    </row>
    <row r="192" spans="2:17">
      <c r="B192" s="446"/>
      <c r="C192" s="452"/>
      <c r="D192" s="452"/>
      <c r="E192" s="448"/>
      <c r="F192" s="452"/>
      <c r="G192" s="452"/>
      <c r="H192" s="448"/>
      <c r="I192" s="452"/>
      <c r="J192" s="452"/>
      <c r="K192" s="448"/>
      <c r="L192" s="452">
        <v>98</v>
      </c>
      <c r="M192" s="452">
        <f>IF(L192&lt;='B1b '!$G$41,'B1b '!$H$41,IF(AND(L192&lt;='B1b '!$G$40,L192&gt;'B1b '!$G$41),0+(('B1b '!$H$41-'B1b '!$H$40)/('B1b '!$G$41-'B1b '!$G$40))*(L192-'B1b '!$G$40),0))</f>
        <v>24.34782608695652</v>
      </c>
      <c r="N192" s="448"/>
      <c r="O192" s="452"/>
      <c r="P192" s="452"/>
      <c r="Q192" s="446"/>
    </row>
    <row r="193" spans="2:17">
      <c r="B193" s="446"/>
      <c r="C193" s="452"/>
      <c r="D193" s="452"/>
      <c r="E193" s="448"/>
      <c r="F193" s="452"/>
      <c r="G193" s="452"/>
      <c r="H193" s="448"/>
      <c r="I193" s="452"/>
      <c r="J193" s="452"/>
      <c r="K193" s="448"/>
      <c r="L193" s="452">
        <v>99</v>
      </c>
      <c r="M193" s="452">
        <f>IF(L193&lt;='B1b '!$G$41,'B1b '!$H$41,IF(AND(L193&lt;='B1b '!$G$40,L193&gt;'B1b '!$G$41),0+(('B1b '!$H$41-'B1b '!$H$40)/('B1b '!$G$41-'B1b '!$G$40))*(L193-'B1b '!$G$40),0))</f>
        <v>22.608695652173914</v>
      </c>
      <c r="N193" s="448"/>
      <c r="O193" s="452"/>
      <c r="P193" s="452"/>
      <c r="Q193" s="446"/>
    </row>
    <row r="194" spans="2:17">
      <c r="B194" s="446"/>
      <c r="C194" s="452"/>
      <c r="D194" s="452"/>
      <c r="E194" s="448"/>
      <c r="F194" s="452"/>
      <c r="G194" s="452"/>
      <c r="H194" s="448"/>
      <c r="I194" s="452"/>
      <c r="J194" s="452"/>
      <c r="K194" s="448"/>
      <c r="L194" s="452">
        <v>100</v>
      </c>
      <c r="M194" s="452">
        <f>IF(L194&lt;='B1b '!$G$41,'B1b '!$H$41,IF(AND(L194&lt;='B1b '!$G$40,L194&gt;'B1b '!$G$41),0+(('B1b '!$H$41-'B1b '!$H$40)/('B1b '!$G$41-'B1b '!$G$40))*(L194-'B1b '!$G$40),0))</f>
        <v>20.869565217391305</v>
      </c>
      <c r="N194" s="448"/>
      <c r="O194" s="452"/>
      <c r="P194" s="452"/>
      <c r="Q194" s="446"/>
    </row>
    <row r="195" spans="2:17">
      <c r="B195" s="446"/>
      <c r="C195" s="448"/>
      <c r="D195" s="448"/>
      <c r="E195" s="448"/>
      <c r="F195" s="448"/>
      <c r="G195" s="448"/>
      <c r="H195" s="448"/>
      <c r="I195" s="448"/>
      <c r="J195" s="448"/>
      <c r="K195" s="448"/>
      <c r="L195" s="452">
        <v>101</v>
      </c>
      <c r="M195" s="452">
        <f>IF(L195&lt;='B1b '!$G$41,'B1b '!$H$41,IF(AND(L195&lt;='B1b '!$G$40,L195&gt;'B1b '!$G$41),0+(('B1b '!$H$41-'B1b '!$H$40)/('B1b '!$G$41-'B1b '!$G$40))*(L195-'B1b '!$G$40),0))</f>
        <v>19.130434782608695</v>
      </c>
      <c r="N195" s="448"/>
      <c r="O195" s="448"/>
      <c r="P195" s="448"/>
      <c r="Q195" s="446"/>
    </row>
    <row r="196" spans="2:17">
      <c r="B196" s="446"/>
      <c r="C196" s="448"/>
      <c r="D196" s="448"/>
      <c r="E196" s="448"/>
      <c r="F196" s="448"/>
      <c r="G196" s="448"/>
      <c r="H196" s="448"/>
      <c r="I196" s="448"/>
      <c r="J196" s="448"/>
      <c r="K196" s="448"/>
      <c r="L196" s="452">
        <v>102</v>
      </c>
      <c r="M196" s="452">
        <f>IF(L196&lt;='B1b '!$G$41,'B1b '!$H$41,IF(AND(L196&lt;='B1b '!$G$40,L196&gt;'B1b '!$G$41),0+(('B1b '!$H$41-'B1b '!$H$40)/('B1b '!$G$41-'B1b '!$G$40))*(L196-'B1b '!$G$40),0))</f>
        <v>17.391304347826086</v>
      </c>
      <c r="N196" s="448"/>
      <c r="O196" s="448"/>
      <c r="P196" s="448"/>
      <c r="Q196" s="446"/>
    </row>
    <row r="197" spans="2:17">
      <c r="B197" s="446"/>
      <c r="C197" s="448"/>
      <c r="D197" s="448"/>
      <c r="E197" s="448"/>
      <c r="F197" s="448"/>
      <c r="G197" s="448"/>
      <c r="H197" s="448"/>
      <c r="I197" s="448"/>
      <c r="J197" s="448"/>
      <c r="K197" s="448"/>
      <c r="L197" s="452">
        <v>103</v>
      </c>
      <c r="M197" s="452">
        <f>IF(L197&lt;='B1b '!$G$41,'B1b '!$H$41,IF(AND(L197&lt;='B1b '!$G$40,L197&gt;'B1b '!$G$41),0+(('B1b '!$H$41-'B1b '!$H$40)/('B1b '!$G$41-'B1b '!$G$40))*(L197-'B1b '!$G$40),0))</f>
        <v>15.652173913043478</v>
      </c>
      <c r="N197" s="448"/>
      <c r="O197" s="448"/>
      <c r="P197" s="448"/>
      <c r="Q197" s="446"/>
    </row>
    <row r="198" spans="2:17">
      <c r="B198" s="446"/>
      <c r="C198" s="448"/>
      <c r="D198" s="448"/>
      <c r="E198" s="448"/>
      <c r="F198" s="448"/>
      <c r="G198" s="448"/>
      <c r="H198" s="448"/>
      <c r="I198" s="448"/>
      <c r="J198" s="448"/>
      <c r="K198" s="448"/>
      <c r="L198" s="487">
        <v>104</v>
      </c>
      <c r="M198" s="452">
        <f>IF(L198&lt;='B1b '!$G$41,'B1b '!$H$41,IF(AND(L198&lt;='B1b '!$G$40,L198&gt;'B1b '!$G$41),0+(('B1b '!$H$41-'B1b '!$H$40)/('B1b '!$G$41-'B1b '!$G$40))*(L198-'B1b '!$G$40),0))</f>
        <v>13.913043478260869</v>
      </c>
      <c r="N198" s="448"/>
      <c r="O198" s="448"/>
      <c r="P198" s="448"/>
      <c r="Q198" s="446"/>
    </row>
    <row r="199" spans="2:17">
      <c r="B199" s="446"/>
      <c r="C199" s="448"/>
      <c r="D199" s="448"/>
      <c r="E199" s="448"/>
      <c r="F199" s="448"/>
      <c r="G199" s="448"/>
      <c r="H199" s="448"/>
      <c r="I199" s="448"/>
      <c r="J199" s="448"/>
      <c r="K199" s="448"/>
      <c r="L199" s="487">
        <v>105</v>
      </c>
      <c r="M199" s="452">
        <f>IF(L199&lt;='B1b '!$G$41,'B1b '!$H$41,IF(AND(L199&lt;='B1b '!$G$40,L199&gt;'B1b '!$G$41),0+(('B1b '!$H$41-'B1b '!$H$40)/('B1b '!$G$41-'B1b '!$G$40))*(L199-'B1b '!$G$40),0))</f>
        <v>12.17391304347826</v>
      </c>
      <c r="N199" s="448"/>
      <c r="O199" s="448"/>
      <c r="P199" s="448"/>
      <c r="Q199" s="446"/>
    </row>
    <row r="200" spans="2:17">
      <c r="B200" s="446"/>
      <c r="C200" s="448"/>
      <c r="D200" s="448"/>
      <c r="E200" s="448"/>
      <c r="F200" s="448"/>
      <c r="G200" s="448"/>
      <c r="H200" s="448"/>
      <c r="I200" s="448"/>
      <c r="J200" s="448"/>
      <c r="K200" s="448"/>
      <c r="L200" s="487">
        <v>106</v>
      </c>
      <c r="M200" s="452">
        <f>IF(L200&lt;='B1b '!$G$41,'B1b '!$H$41,IF(AND(L200&lt;='B1b '!$G$40,L200&gt;'B1b '!$G$41),0+(('B1b '!$H$41-'B1b '!$H$40)/('B1b '!$G$41-'B1b '!$G$40))*(L200-'B1b '!$G$40),0))</f>
        <v>10.434782608695652</v>
      </c>
      <c r="N200" s="448"/>
      <c r="O200" s="448"/>
      <c r="P200" s="448"/>
      <c r="Q200" s="446"/>
    </row>
    <row r="201" spans="2:17">
      <c r="B201" s="446"/>
      <c r="C201" s="448"/>
      <c r="D201" s="448"/>
      <c r="E201" s="448"/>
      <c r="F201" s="448"/>
      <c r="G201" s="448"/>
      <c r="H201" s="448"/>
      <c r="I201" s="448"/>
      <c r="J201" s="448"/>
      <c r="K201" s="448"/>
      <c r="L201" s="487">
        <v>107</v>
      </c>
      <c r="M201" s="452">
        <f>IF(L201&lt;='B1b '!$G$41,'B1b '!$H$41,IF(AND(L201&lt;='B1b '!$G$40,L201&gt;'B1b '!$G$41),0+(('B1b '!$H$41-'B1b '!$H$40)/('B1b '!$G$41-'B1b '!$G$40))*(L201-'B1b '!$G$40),0))</f>
        <v>8.695652173913043</v>
      </c>
      <c r="N201" s="448"/>
      <c r="O201" s="448"/>
      <c r="P201" s="448"/>
      <c r="Q201" s="446"/>
    </row>
    <row r="202" spans="2:17">
      <c r="B202" s="446"/>
      <c r="C202" s="448"/>
      <c r="D202" s="448"/>
      <c r="E202" s="448"/>
      <c r="F202" s="448"/>
      <c r="G202" s="448"/>
      <c r="H202" s="448"/>
      <c r="I202" s="448"/>
      <c r="J202" s="448"/>
      <c r="K202" s="448"/>
      <c r="L202" s="487">
        <v>108</v>
      </c>
      <c r="M202" s="452">
        <f>IF(L202&lt;='B1b '!$G$41,'B1b '!$H$41,IF(AND(L202&lt;='B1b '!$G$40,L202&gt;'B1b '!$G$41),0+(('B1b '!$H$41-'B1b '!$H$40)/('B1b '!$G$41-'B1b '!$G$40))*(L202-'B1b '!$G$40),0))</f>
        <v>6.9565217391304346</v>
      </c>
      <c r="N202" s="448"/>
      <c r="O202" s="448"/>
      <c r="P202" s="448"/>
      <c r="Q202" s="446"/>
    </row>
    <row r="203" spans="2:17">
      <c r="B203" s="446"/>
      <c r="C203" s="448"/>
      <c r="D203" s="448"/>
      <c r="E203" s="448"/>
      <c r="F203" s="448"/>
      <c r="G203" s="448"/>
      <c r="H203" s="448"/>
      <c r="I203" s="448"/>
      <c r="J203" s="448"/>
      <c r="K203" s="448"/>
      <c r="L203" s="487">
        <v>109</v>
      </c>
      <c r="M203" s="452">
        <f>IF(L203&lt;='B1b '!$G$41,'B1b '!$H$41,IF(AND(L203&lt;='B1b '!$G$40,L203&gt;'B1b '!$G$41),0+(('B1b '!$H$41-'B1b '!$H$40)/('B1b '!$G$41-'B1b '!$G$40))*(L203-'B1b '!$G$40),0))</f>
        <v>5.2173913043478262</v>
      </c>
      <c r="N203" s="448"/>
      <c r="O203" s="448"/>
      <c r="P203" s="448"/>
      <c r="Q203" s="446"/>
    </row>
    <row r="204" spans="2:17">
      <c r="B204" s="446"/>
      <c r="C204" s="448"/>
      <c r="D204" s="448"/>
      <c r="E204" s="448"/>
      <c r="F204" s="448"/>
      <c r="G204" s="448"/>
      <c r="H204" s="448"/>
      <c r="I204" s="448"/>
      <c r="J204" s="448"/>
      <c r="K204" s="448"/>
      <c r="L204" s="487">
        <v>110</v>
      </c>
      <c r="M204" s="452">
        <f>IF(L204&lt;='B1b '!$G$41,'B1b '!$H$41,IF(AND(L204&lt;='B1b '!$G$40,L204&gt;'B1b '!$G$41),0+(('B1b '!$H$41-'B1b '!$H$40)/('B1b '!$G$41-'B1b '!$G$40))*(L204-'B1b '!$G$40),0))</f>
        <v>3.4782608695652173</v>
      </c>
      <c r="N204" s="448"/>
      <c r="O204" s="448"/>
      <c r="P204" s="448"/>
      <c r="Q204" s="446"/>
    </row>
    <row r="205" spans="2:17">
      <c r="B205" s="446"/>
      <c r="C205" s="448"/>
      <c r="D205" s="448"/>
      <c r="E205" s="448"/>
      <c r="F205" s="448"/>
      <c r="G205" s="448"/>
      <c r="H205" s="448"/>
      <c r="I205" s="448"/>
      <c r="J205" s="448"/>
      <c r="K205" s="448"/>
      <c r="L205" s="487">
        <v>111</v>
      </c>
      <c r="M205" s="452">
        <f>IF(L205&lt;='B1b '!$G$41,'B1b '!$H$41,IF(AND(L205&lt;='B1b '!$G$40,L205&gt;'B1b '!$G$41),0+(('B1b '!$H$41-'B1b '!$H$40)/('B1b '!$G$41-'B1b '!$G$40))*(L205-'B1b '!$G$40),0))</f>
        <v>1.7391304347826086</v>
      </c>
      <c r="N205" s="448"/>
      <c r="O205" s="448"/>
      <c r="P205" s="448"/>
      <c r="Q205" s="446"/>
    </row>
    <row r="206" spans="2:17">
      <c r="B206" s="446"/>
      <c r="C206" s="448"/>
      <c r="D206" s="448"/>
      <c r="E206" s="448"/>
      <c r="F206" s="448"/>
      <c r="G206" s="448"/>
      <c r="H206" s="448"/>
      <c r="I206" s="448"/>
      <c r="J206" s="448"/>
      <c r="K206" s="448"/>
      <c r="L206" s="487">
        <v>112</v>
      </c>
      <c r="M206" s="452">
        <f>IF(L206&lt;='B1b '!$G$41,'B1b '!$H$41,IF(AND(L206&lt;='B1b '!$G$40,L206&gt;'B1b '!$G$41),0+(('B1b '!$H$41-'B1b '!$H$40)/('B1b '!$G$41-'B1b '!$G$40))*(L206-'B1b '!$G$40),0))</f>
        <v>0</v>
      </c>
      <c r="N206" s="448"/>
      <c r="O206" s="448"/>
      <c r="P206" s="448"/>
      <c r="Q206" s="446"/>
    </row>
    <row r="207" spans="2:17">
      <c r="B207" s="446"/>
      <c r="C207" s="448"/>
      <c r="D207" s="448"/>
      <c r="E207" s="448"/>
      <c r="F207" s="448"/>
      <c r="G207" s="448"/>
      <c r="H207" s="448"/>
      <c r="I207" s="448"/>
      <c r="J207" s="448"/>
      <c r="K207" s="448"/>
      <c r="L207" s="487">
        <v>113</v>
      </c>
      <c r="M207" s="452">
        <f>IF(L207&lt;='B1b '!$G$41,'B1b '!$H$41,IF(AND(L207&lt;='B1b '!$G$40,L207&gt;'B1b '!$G$41),0+(('B1b '!$H$41-'B1b '!$H$40)/('B1b '!$G$41-'B1b '!$G$40))*(L207-'B1b '!$G$40),0))</f>
        <v>0</v>
      </c>
      <c r="N207" s="448"/>
      <c r="O207" s="448"/>
      <c r="P207" s="448"/>
      <c r="Q207" s="446"/>
    </row>
    <row r="208" spans="2:17">
      <c r="B208" s="446"/>
      <c r="C208" s="448"/>
      <c r="D208" s="448"/>
      <c r="E208" s="448"/>
      <c r="F208" s="448"/>
      <c r="G208" s="448"/>
      <c r="H208" s="448"/>
      <c r="I208" s="448"/>
      <c r="J208" s="448"/>
      <c r="K208" s="448"/>
      <c r="L208" s="487">
        <v>114</v>
      </c>
      <c r="M208" s="452">
        <f>IF(L208&lt;='B1b '!$G$41,'B1b '!$H$41,IF(AND(L208&lt;='B1b '!$G$40,L208&gt;'B1b '!$G$41),0+(('B1b '!$H$41-'B1b '!$H$40)/('B1b '!$G$41-'B1b '!$G$40))*(L208-'B1b '!$G$40),0))</f>
        <v>0</v>
      </c>
      <c r="N208" s="448"/>
      <c r="O208" s="448"/>
      <c r="P208" s="448"/>
      <c r="Q208" s="446"/>
    </row>
    <row r="209" spans="2:17">
      <c r="B209" s="446"/>
      <c r="C209" s="448"/>
      <c r="D209" s="448"/>
      <c r="E209" s="448"/>
      <c r="F209" s="448"/>
      <c r="G209" s="448"/>
      <c r="H209" s="448"/>
      <c r="I209" s="448"/>
      <c r="J209" s="448"/>
      <c r="K209" s="448"/>
      <c r="L209" s="487">
        <v>115</v>
      </c>
      <c r="M209" s="452">
        <f>IF(L209&lt;='B1b '!$G$41,'B1b '!$H$41,IF(AND(L209&lt;='B1b '!$G$40,L209&gt;'B1b '!$G$41),0+(('B1b '!$H$41-'B1b '!$H$40)/('B1b '!$G$41-'B1b '!$G$40))*(L209-'B1b '!$G$40),0))</f>
        <v>0</v>
      </c>
      <c r="N209" s="448"/>
      <c r="O209" s="448"/>
      <c r="P209" s="448"/>
      <c r="Q209" s="446"/>
    </row>
    <row r="210" spans="2:17">
      <c r="B210" s="446"/>
      <c r="C210" s="448"/>
      <c r="D210" s="448"/>
      <c r="E210" s="448"/>
      <c r="F210" s="448"/>
      <c r="G210" s="448"/>
      <c r="H210" s="448"/>
      <c r="I210" s="448"/>
      <c r="J210" s="448"/>
      <c r="K210" s="448"/>
      <c r="L210" s="487">
        <v>116</v>
      </c>
      <c r="M210" s="452">
        <f>IF(L210&lt;='B1b '!$G$41,'B1b '!$H$41,IF(AND(L210&lt;='B1b '!$G$40,L210&gt;'B1b '!$G$41),0+(('B1b '!$H$41-'B1b '!$H$40)/('B1b '!$G$41-'B1b '!$G$40))*(L210-'B1b '!$G$40),0))</f>
        <v>0</v>
      </c>
      <c r="N210" s="448"/>
      <c r="O210" s="448"/>
      <c r="P210" s="448"/>
      <c r="Q210" s="446"/>
    </row>
    <row r="211" spans="2:17">
      <c r="B211" s="446"/>
      <c r="C211" s="448"/>
      <c r="D211" s="448"/>
      <c r="E211" s="448"/>
      <c r="F211" s="448"/>
      <c r="G211" s="448"/>
      <c r="H211" s="448"/>
      <c r="I211" s="448"/>
      <c r="J211" s="448"/>
      <c r="K211" s="448"/>
      <c r="L211" s="487">
        <v>117</v>
      </c>
      <c r="M211" s="452">
        <f>IF(L211&lt;='B1b '!$G$41,'B1b '!$H$41,IF(AND(L211&lt;='B1b '!$G$40,L211&gt;'B1b '!$G$41),0+(('B1b '!$H$41-'B1b '!$H$40)/('B1b '!$G$41-'B1b '!$G$40))*(L211-'B1b '!$G$40),0))</f>
        <v>0</v>
      </c>
      <c r="N211" s="448"/>
      <c r="O211" s="448"/>
      <c r="P211" s="448"/>
      <c r="Q211" s="446"/>
    </row>
    <row r="212" spans="2:17">
      <c r="B212" s="446"/>
      <c r="C212" s="448"/>
      <c r="D212" s="448"/>
      <c r="E212" s="448"/>
      <c r="F212" s="448"/>
      <c r="G212" s="448"/>
      <c r="H212" s="448"/>
      <c r="I212" s="448"/>
      <c r="J212" s="448"/>
      <c r="K212" s="448"/>
      <c r="L212" s="487">
        <v>118</v>
      </c>
      <c r="M212" s="452">
        <f>IF(L212&lt;='B1b '!$G$41,'B1b '!$H$41,IF(AND(L212&lt;='B1b '!$G$40,L212&gt;'B1b '!$G$41),0+(('B1b '!$H$41-'B1b '!$H$40)/('B1b '!$G$41-'B1b '!$G$40))*(L212-'B1b '!$G$40),0))</f>
        <v>0</v>
      </c>
      <c r="N212" s="448"/>
      <c r="O212" s="448"/>
      <c r="P212" s="448"/>
      <c r="Q212" s="446"/>
    </row>
    <row r="213" spans="2:17">
      <c r="B213" s="446"/>
      <c r="C213" s="448"/>
      <c r="D213" s="448"/>
      <c r="E213" s="448"/>
      <c r="F213" s="448"/>
      <c r="G213" s="448"/>
      <c r="H213" s="448"/>
      <c r="I213" s="448"/>
      <c r="J213" s="448"/>
      <c r="K213" s="448"/>
      <c r="L213" s="487">
        <v>119</v>
      </c>
      <c r="M213" s="452">
        <f>IF(L213&lt;='B1b '!$G$41,'B1b '!$H$41,IF(AND(L213&lt;='B1b '!$G$40,L213&gt;'B1b '!$G$41),0+(('B1b '!$H$41-'B1b '!$H$40)/('B1b '!$G$41-'B1b '!$G$40))*(L213-'B1b '!$G$40),0))</f>
        <v>0</v>
      </c>
      <c r="N213" s="448"/>
      <c r="O213" s="448"/>
      <c r="P213" s="448"/>
      <c r="Q213" s="446"/>
    </row>
    <row r="214" spans="2:17">
      <c r="B214" s="446"/>
      <c r="C214" s="448"/>
      <c r="D214" s="448"/>
      <c r="E214" s="448"/>
      <c r="F214" s="448"/>
      <c r="G214" s="448"/>
      <c r="H214" s="448"/>
      <c r="I214" s="448"/>
      <c r="J214" s="448"/>
      <c r="K214" s="448"/>
      <c r="L214" s="487">
        <v>120</v>
      </c>
      <c r="M214" s="452">
        <f>IF(L214&lt;='B1b '!$G$41,'B1b '!$H$41,IF(AND(L214&lt;='B1b '!$G$40,L214&gt;'B1b '!$G$41),0+(('B1b '!$H$41-'B1b '!$H$40)/('B1b '!$G$41-'B1b '!$G$40))*(L214-'B1b '!$G$40),0))</f>
        <v>0</v>
      </c>
      <c r="N214" s="448"/>
      <c r="O214" s="448"/>
      <c r="P214" s="448"/>
      <c r="Q214" s="446"/>
    </row>
    <row r="215" spans="2:17">
      <c r="B215" s="446"/>
      <c r="C215" s="448"/>
      <c r="D215" s="448"/>
      <c r="E215" s="448"/>
      <c r="F215" s="448"/>
      <c r="G215" s="448"/>
      <c r="H215" s="448"/>
      <c r="I215" s="448"/>
      <c r="J215" s="448"/>
      <c r="K215" s="448"/>
      <c r="L215" s="487">
        <v>121</v>
      </c>
      <c r="M215" s="452">
        <f>IF(L215&lt;='B1b '!$G$41,'B1b '!$H$41,IF(AND(L215&lt;='B1b '!$G$40,L215&gt;'B1b '!$G$41),0+(('B1b '!$H$41-'B1b '!$H$40)/('B1b '!$G$41-'B1b '!$G$40))*(L215-'B1b '!$G$40),0))</f>
        <v>0</v>
      </c>
      <c r="N215" s="448"/>
      <c r="O215" s="448"/>
      <c r="P215" s="448"/>
      <c r="Q215" s="446"/>
    </row>
    <row r="216" spans="2:17">
      <c r="B216" s="446"/>
      <c r="C216" s="448"/>
      <c r="D216" s="448"/>
      <c r="E216" s="448"/>
      <c r="F216" s="448"/>
      <c r="G216" s="448"/>
      <c r="H216" s="448"/>
      <c r="I216" s="448"/>
      <c r="J216" s="448"/>
      <c r="K216" s="448"/>
      <c r="L216" s="487">
        <v>122</v>
      </c>
      <c r="M216" s="452">
        <f>IF(L216&lt;='B1b '!$G$41,'B1b '!$H$41,IF(AND(L216&lt;='B1b '!$G$40,L216&gt;'B1b '!$G$41),0+(('B1b '!$H$41-'B1b '!$H$40)/('B1b '!$G$41-'B1b '!$G$40))*(L216-'B1b '!$G$40),0))</f>
        <v>0</v>
      </c>
      <c r="N216" s="448"/>
      <c r="O216" s="448"/>
      <c r="P216" s="448"/>
      <c r="Q216" s="446"/>
    </row>
    <row r="217" spans="2:17">
      <c r="B217" s="446"/>
      <c r="C217" s="448"/>
      <c r="D217" s="448"/>
      <c r="E217" s="448"/>
      <c r="F217" s="448"/>
      <c r="G217" s="448"/>
      <c r="H217" s="448"/>
      <c r="I217" s="448"/>
      <c r="J217" s="448"/>
      <c r="K217" s="448"/>
      <c r="L217" s="487">
        <v>123</v>
      </c>
      <c r="M217" s="452">
        <f>IF(L217&lt;='B1b '!$G$41,'B1b '!$H$41,IF(AND(L217&lt;='B1b '!$G$40,L217&gt;'B1b '!$G$41),0+(('B1b '!$H$41-'B1b '!$H$40)/('B1b '!$G$41-'B1b '!$G$40))*(L217-'B1b '!$G$40),0))</f>
        <v>0</v>
      </c>
      <c r="N217" s="448"/>
      <c r="O217" s="448"/>
      <c r="P217" s="448"/>
      <c r="Q217" s="446"/>
    </row>
    <row r="218" spans="2:17">
      <c r="B218" s="446"/>
      <c r="C218" s="448"/>
      <c r="D218" s="448"/>
      <c r="E218" s="448"/>
      <c r="F218" s="448"/>
      <c r="G218" s="448"/>
      <c r="H218" s="448"/>
      <c r="I218" s="448"/>
      <c r="J218" s="448"/>
      <c r="K218" s="448"/>
      <c r="L218" s="487">
        <v>124</v>
      </c>
      <c r="M218" s="452">
        <f>IF(L218&lt;='B1b '!$G$41,'B1b '!$H$41,IF(AND(L218&lt;='B1b '!$G$40,L218&gt;'B1b '!$G$41),0+(('B1b '!$H$41-'B1b '!$H$40)/('B1b '!$G$41-'B1b '!$G$40))*(L218-'B1b '!$G$40),0))</f>
        <v>0</v>
      </c>
      <c r="N218" s="448"/>
      <c r="O218" s="448"/>
      <c r="P218" s="448"/>
      <c r="Q218" s="446"/>
    </row>
    <row r="219" spans="2:17">
      <c r="B219" s="446"/>
      <c r="C219" s="448"/>
      <c r="D219" s="448"/>
      <c r="E219" s="448"/>
      <c r="F219" s="448"/>
      <c r="G219" s="448"/>
      <c r="H219" s="448"/>
      <c r="I219" s="448"/>
      <c r="J219" s="448"/>
      <c r="K219" s="448"/>
      <c r="L219" s="487">
        <v>125</v>
      </c>
      <c r="M219" s="452">
        <f>IF(L219&lt;='B1b '!$G$41,'B1b '!$H$41,IF(AND(L219&lt;='B1b '!$G$40,L219&gt;'B1b '!$G$41),0+(('B1b '!$H$41-'B1b '!$H$40)/('B1b '!$G$41-'B1b '!$G$40))*(L219-'B1b '!$G$40),0))</f>
        <v>0</v>
      </c>
      <c r="N219" s="448"/>
      <c r="O219" s="448"/>
      <c r="P219" s="448"/>
      <c r="Q219" s="446"/>
    </row>
    <row r="220" spans="2:17">
      <c r="B220" s="446"/>
      <c r="C220" s="448"/>
      <c r="D220" s="448"/>
      <c r="E220" s="448"/>
      <c r="F220" s="448"/>
      <c r="G220" s="448"/>
      <c r="H220" s="448"/>
      <c r="I220" s="448"/>
      <c r="J220" s="448"/>
      <c r="K220" s="448"/>
      <c r="L220" s="487">
        <v>126</v>
      </c>
      <c r="M220" s="452">
        <f>IF(L220&lt;='B1b '!$G$41,'B1b '!$H$41,IF(AND(L220&lt;='B1b '!$G$40,L220&gt;'B1b '!$G$41),0+(('B1b '!$H$41-'B1b '!$H$40)/('B1b '!$G$41-'B1b '!$G$40))*(L220-'B1b '!$G$40),0))</f>
        <v>0</v>
      </c>
      <c r="N220" s="448"/>
      <c r="O220" s="448"/>
      <c r="P220" s="448"/>
      <c r="Q220" s="446"/>
    </row>
    <row r="221" spans="2:17">
      <c r="B221" s="446"/>
      <c r="C221" s="448"/>
      <c r="D221" s="448"/>
      <c r="E221" s="448"/>
      <c r="F221" s="448"/>
      <c r="G221" s="448"/>
      <c r="H221" s="448"/>
      <c r="I221" s="448"/>
      <c r="J221" s="448"/>
      <c r="K221" s="448"/>
      <c r="L221" s="487">
        <v>127</v>
      </c>
      <c r="M221" s="452">
        <f>IF(L221&lt;='B1b '!$G$41,'B1b '!$H$41,IF(AND(L221&lt;='B1b '!$G$40,L221&gt;'B1b '!$G$41),0+(('B1b '!$H$41-'B1b '!$H$40)/('B1b '!$G$41-'B1b '!$G$40))*(L221-'B1b '!$G$40),0))</f>
        <v>0</v>
      </c>
      <c r="N221" s="448"/>
      <c r="O221" s="448"/>
      <c r="P221" s="448"/>
      <c r="Q221" s="446"/>
    </row>
    <row r="222" spans="2:17">
      <c r="B222" s="446"/>
      <c r="C222" s="448"/>
      <c r="D222" s="448"/>
      <c r="E222" s="448"/>
      <c r="F222" s="448"/>
      <c r="G222" s="448"/>
      <c r="H222" s="448"/>
      <c r="I222" s="448"/>
      <c r="J222" s="448"/>
      <c r="K222" s="448"/>
      <c r="L222" s="487">
        <v>128</v>
      </c>
      <c r="M222" s="452">
        <f>IF(L222&lt;='B1b '!$G$41,'B1b '!$H$41,IF(AND(L222&lt;='B1b '!$G$40,L222&gt;'B1b '!$G$41),0+(('B1b '!$H$41-'B1b '!$H$40)/('B1b '!$G$41-'B1b '!$G$40))*(L222-'B1b '!$G$40),0))</f>
        <v>0</v>
      </c>
      <c r="N222" s="448"/>
      <c r="O222" s="448"/>
      <c r="P222" s="448"/>
      <c r="Q222" s="446"/>
    </row>
    <row r="223" spans="2:17">
      <c r="B223" s="446"/>
      <c r="C223" s="448"/>
      <c r="D223" s="448"/>
      <c r="E223" s="448"/>
      <c r="F223" s="448"/>
      <c r="G223" s="448"/>
      <c r="H223" s="448"/>
      <c r="I223" s="448"/>
      <c r="J223" s="448"/>
      <c r="K223" s="448"/>
      <c r="L223" s="487">
        <v>129</v>
      </c>
      <c r="M223" s="452">
        <f>IF(L223&lt;='B1b '!$G$41,'B1b '!$H$41,IF(AND(L223&lt;='B1b '!$G$40,L223&gt;'B1b '!$G$41),0+(('B1b '!$H$41-'B1b '!$H$40)/('B1b '!$G$41-'B1b '!$G$40))*(L223-'B1b '!$G$40),0))</f>
        <v>0</v>
      </c>
      <c r="N223" s="448"/>
      <c r="O223" s="448"/>
      <c r="P223" s="448"/>
      <c r="Q223" s="446"/>
    </row>
    <row r="224" spans="2:17">
      <c r="B224" s="446"/>
      <c r="C224" s="448"/>
      <c r="D224" s="448"/>
      <c r="E224" s="448"/>
      <c r="F224" s="448"/>
      <c r="G224" s="448"/>
      <c r="H224" s="448"/>
      <c r="I224" s="448"/>
      <c r="J224" s="448"/>
      <c r="K224" s="448"/>
      <c r="L224" s="487">
        <v>130</v>
      </c>
      <c r="M224" s="452">
        <f>IF(L224&lt;='B1b '!$G$41,'B1b '!$H$41,IF(AND(L224&lt;='B1b '!$G$40,L224&gt;'B1b '!$G$41),0+(('B1b '!$H$41-'B1b '!$H$40)/('B1b '!$G$41-'B1b '!$G$40))*(L224-'B1b '!$G$40),0))</f>
        <v>0</v>
      </c>
      <c r="N224" s="448"/>
      <c r="O224" s="448"/>
      <c r="P224" s="448"/>
      <c r="Q224" s="446"/>
    </row>
    <row r="225" spans="2:17">
      <c r="B225" s="446"/>
      <c r="C225" s="448"/>
      <c r="D225" s="448"/>
      <c r="E225" s="448"/>
      <c r="F225" s="448"/>
      <c r="G225" s="448"/>
      <c r="H225" s="448"/>
      <c r="I225" s="448"/>
      <c r="J225" s="448"/>
      <c r="K225" s="448"/>
      <c r="L225" s="487">
        <v>131</v>
      </c>
      <c r="M225" s="452">
        <f>IF(L225&lt;='B1b '!$G$41,'B1b '!$H$41,IF(AND(L225&lt;='B1b '!$G$40,L225&gt;'B1b '!$G$41),0+(('B1b '!$H$41-'B1b '!$H$40)/('B1b '!$G$41-'B1b '!$G$40))*(L225-'B1b '!$G$40),0))</f>
        <v>0</v>
      </c>
      <c r="N225" s="448"/>
      <c r="O225" s="448"/>
      <c r="P225" s="448"/>
      <c r="Q225" s="446"/>
    </row>
    <row r="226" spans="2:17">
      <c r="B226" s="446"/>
      <c r="C226" s="448"/>
      <c r="D226" s="448"/>
      <c r="E226" s="448"/>
      <c r="F226" s="448"/>
      <c r="G226" s="448"/>
      <c r="H226" s="448"/>
      <c r="I226" s="448"/>
      <c r="J226" s="448"/>
      <c r="K226" s="448"/>
      <c r="L226" s="487">
        <v>132</v>
      </c>
      <c r="M226" s="452">
        <f>IF(L226&lt;='B1b '!$G$41,'B1b '!$H$41,IF(AND(L226&lt;='B1b '!$G$40,L226&gt;'B1b '!$G$41),0+(('B1b '!$H$41-'B1b '!$H$40)/('B1b '!$G$41-'B1b '!$G$40))*(L226-'B1b '!$G$40),0))</f>
        <v>0</v>
      </c>
      <c r="N226" s="448"/>
      <c r="O226" s="448"/>
      <c r="P226" s="448"/>
      <c r="Q226" s="446"/>
    </row>
    <row r="227" spans="2:17">
      <c r="B227" s="446"/>
      <c r="C227" s="448"/>
      <c r="D227" s="448"/>
      <c r="E227" s="448"/>
      <c r="F227" s="448"/>
      <c r="G227" s="448"/>
      <c r="H227" s="448"/>
      <c r="I227" s="448"/>
      <c r="J227" s="448"/>
      <c r="K227" s="448"/>
      <c r="L227" s="487">
        <v>133</v>
      </c>
      <c r="M227" s="452">
        <f>IF(L227&lt;='B1b '!$G$41,'B1b '!$H$41,IF(AND(L227&lt;='B1b '!$G$40,L227&gt;'B1b '!$G$41),0+(('B1b '!$H$41-'B1b '!$H$40)/('B1b '!$G$41-'B1b '!$G$40))*(L227-'B1b '!$G$40),0))</f>
        <v>0</v>
      </c>
      <c r="N227" s="448"/>
      <c r="O227" s="448"/>
      <c r="P227" s="448"/>
      <c r="Q227" s="446"/>
    </row>
    <row r="228" spans="2:17">
      <c r="B228" s="446"/>
      <c r="C228" s="448"/>
      <c r="D228" s="448"/>
      <c r="E228" s="448"/>
      <c r="F228" s="448"/>
      <c r="G228" s="448"/>
      <c r="H228" s="448"/>
      <c r="I228" s="448"/>
      <c r="J228" s="448"/>
      <c r="K228" s="448"/>
      <c r="L228" s="487">
        <v>134</v>
      </c>
      <c r="M228" s="452">
        <f>IF(L228&lt;='B1b '!$G$41,'B1b '!$H$41,IF(AND(L228&lt;='B1b '!$G$40,L228&gt;'B1b '!$G$41),0+(('B1b '!$H$41-'B1b '!$H$40)/('B1b '!$G$41-'B1b '!$G$40))*(L228-'B1b '!$G$40),0))</f>
        <v>0</v>
      </c>
      <c r="N228" s="448"/>
      <c r="O228" s="448"/>
      <c r="P228" s="448"/>
      <c r="Q228" s="446"/>
    </row>
    <row r="229" spans="2:17">
      <c r="B229" s="446"/>
      <c r="C229" s="448"/>
      <c r="D229" s="448"/>
      <c r="E229" s="448"/>
      <c r="F229" s="448"/>
      <c r="G229" s="448"/>
      <c r="H229" s="448"/>
      <c r="I229" s="448"/>
      <c r="J229" s="448"/>
      <c r="K229" s="448"/>
      <c r="L229" s="487">
        <v>135</v>
      </c>
      <c r="M229" s="452">
        <f>IF(L229&lt;='B1b '!$G$41,'B1b '!$H$41,IF(AND(L229&lt;='B1b '!$G$40,L229&gt;'B1b '!$G$41),0+(('B1b '!$H$41-'B1b '!$H$40)/('B1b '!$G$41-'B1b '!$G$40))*(L229-'B1b '!$G$40),0))</f>
        <v>0</v>
      </c>
      <c r="N229" s="448"/>
      <c r="O229" s="448"/>
      <c r="P229" s="448"/>
      <c r="Q229" s="446"/>
    </row>
    <row r="230" spans="2:17">
      <c r="B230" s="446"/>
      <c r="C230" s="448"/>
      <c r="D230" s="448"/>
      <c r="E230" s="448"/>
      <c r="F230" s="448"/>
      <c r="G230" s="448"/>
      <c r="H230" s="448"/>
      <c r="I230" s="448"/>
      <c r="J230" s="448"/>
      <c r="K230" s="448"/>
      <c r="L230" s="487">
        <v>136</v>
      </c>
      <c r="M230" s="452">
        <f>IF(L230&lt;='B1b '!$G$41,'B1b '!$H$41,IF(AND(L230&lt;='B1b '!$G$40,L230&gt;'B1b '!$G$41),0+(('B1b '!$H$41-'B1b '!$H$40)/('B1b '!$G$41-'B1b '!$G$40))*(L230-'B1b '!$G$40),0))</f>
        <v>0</v>
      </c>
      <c r="N230" s="448"/>
      <c r="O230" s="448"/>
      <c r="P230" s="448"/>
      <c r="Q230" s="446"/>
    </row>
    <row r="231" spans="2:17">
      <c r="B231" s="446"/>
      <c r="C231" s="448"/>
      <c r="D231" s="448"/>
      <c r="E231" s="448"/>
      <c r="F231" s="448"/>
      <c r="G231" s="448"/>
      <c r="H231" s="448"/>
      <c r="I231" s="448"/>
      <c r="J231" s="448"/>
      <c r="K231" s="448"/>
      <c r="L231" s="487">
        <v>137</v>
      </c>
      <c r="M231" s="452">
        <f>IF(L231&lt;='B1b '!$G$41,'B1b '!$H$41,IF(AND(L231&lt;='B1b '!$G$40,L231&gt;'B1b '!$G$41),0+(('B1b '!$H$41-'B1b '!$H$40)/('B1b '!$G$41-'B1b '!$G$40))*(L231-'B1b '!$G$40),0))</f>
        <v>0</v>
      </c>
      <c r="N231" s="448"/>
      <c r="O231" s="448"/>
      <c r="P231" s="448"/>
      <c r="Q231" s="446"/>
    </row>
    <row r="232" spans="2:17">
      <c r="B232" s="446"/>
      <c r="C232" s="448"/>
      <c r="D232" s="448"/>
      <c r="E232" s="448"/>
      <c r="F232" s="448"/>
      <c r="G232" s="448"/>
      <c r="H232" s="448"/>
      <c r="I232" s="448"/>
      <c r="J232" s="448"/>
      <c r="K232" s="448"/>
      <c r="L232" s="487">
        <v>138</v>
      </c>
      <c r="M232" s="452">
        <f>IF(L232&lt;='B1b '!$G$41,'B1b '!$H$41,IF(AND(L232&lt;='B1b '!$G$40,L232&gt;'B1b '!$G$41),0+(('B1b '!$H$41-'B1b '!$H$40)/('B1b '!$G$41-'B1b '!$G$40))*(L232-'B1b '!$G$40),0))</f>
        <v>0</v>
      </c>
      <c r="N232" s="448"/>
      <c r="O232" s="448"/>
      <c r="P232" s="448"/>
      <c r="Q232" s="446"/>
    </row>
    <row r="233" spans="2:17">
      <c r="B233" s="446"/>
      <c r="C233" s="448"/>
      <c r="D233" s="448"/>
      <c r="E233" s="448"/>
      <c r="F233" s="448"/>
      <c r="G233" s="448"/>
      <c r="H233" s="448"/>
      <c r="I233" s="448"/>
      <c r="J233" s="448"/>
      <c r="K233" s="448"/>
      <c r="L233" s="487">
        <v>139</v>
      </c>
      <c r="M233" s="452">
        <f>IF(L233&lt;='B1b '!$G$41,'B1b '!$H$41,IF(AND(L233&lt;='B1b '!$G$40,L233&gt;'B1b '!$G$41),0+(('B1b '!$H$41-'B1b '!$H$40)/('B1b '!$G$41-'B1b '!$G$40))*(L233-'B1b '!$G$40),0))</f>
        <v>0</v>
      </c>
      <c r="N233" s="448"/>
      <c r="O233" s="448"/>
      <c r="P233" s="448"/>
      <c r="Q233" s="446"/>
    </row>
    <row r="234" spans="2:17">
      <c r="B234" s="446"/>
      <c r="C234" s="448"/>
      <c r="D234" s="448"/>
      <c r="E234" s="448"/>
      <c r="F234" s="448"/>
      <c r="G234" s="448"/>
      <c r="H234" s="448"/>
      <c r="I234" s="448"/>
      <c r="J234" s="448"/>
      <c r="K234" s="448"/>
      <c r="L234" s="487">
        <v>140</v>
      </c>
      <c r="M234" s="452">
        <f>IF(L234&lt;='B1b '!$G$41,'B1b '!$H$41,IF(AND(L234&lt;='B1b '!$G$40,L234&gt;'B1b '!$G$41),0+(('B1b '!$H$41-'B1b '!$H$40)/('B1b '!$G$41-'B1b '!$G$40))*(L234-'B1b '!$G$40),0))</f>
        <v>0</v>
      </c>
      <c r="N234" s="448"/>
      <c r="O234" s="448"/>
      <c r="P234" s="448"/>
      <c r="Q234" s="446"/>
    </row>
    <row r="235" spans="2:17">
      <c r="B235" s="446"/>
      <c r="C235" s="448"/>
      <c r="D235" s="448"/>
      <c r="E235" s="448"/>
      <c r="F235" s="448"/>
      <c r="G235" s="448"/>
      <c r="H235" s="448"/>
      <c r="I235" s="448"/>
      <c r="J235" s="448"/>
      <c r="K235" s="448"/>
      <c r="L235" s="487">
        <v>141</v>
      </c>
      <c r="M235" s="452">
        <f>IF(L235&lt;='B1b '!$G$41,'B1b '!$H$41,IF(AND(L235&lt;='B1b '!$G$40,L235&gt;'B1b '!$G$41),0+(('B1b '!$H$41-'B1b '!$H$40)/('B1b '!$G$41-'B1b '!$G$40))*(L235-'B1b '!$G$40),0))</f>
        <v>0</v>
      </c>
      <c r="N235" s="448"/>
      <c r="O235" s="448"/>
      <c r="P235" s="448"/>
      <c r="Q235" s="446"/>
    </row>
    <row r="236" spans="2:17">
      <c r="B236" s="446"/>
      <c r="C236" s="448"/>
      <c r="D236" s="448"/>
      <c r="E236" s="448"/>
      <c r="F236" s="448"/>
      <c r="G236" s="448"/>
      <c r="H236" s="448"/>
      <c r="I236" s="448"/>
      <c r="J236" s="448"/>
      <c r="K236" s="448"/>
      <c r="L236" s="487">
        <v>142</v>
      </c>
      <c r="M236" s="452">
        <f>IF(L236&lt;='B1b '!$G$41,'B1b '!$H$41,IF(AND(L236&lt;='B1b '!$G$40,L236&gt;'B1b '!$G$41),0+(('B1b '!$H$41-'B1b '!$H$40)/('B1b '!$G$41-'B1b '!$G$40))*(L236-'B1b '!$G$40),0))</f>
        <v>0</v>
      </c>
      <c r="N236" s="448"/>
      <c r="O236" s="448"/>
      <c r="P236" s="448"/>
      <c r="Q236" s="446"/>
    </row>
    <row r="237" spans="2:17">
      <c r="B237" s="446"/>
      <c r="C237" s="448"/>
      <c r="D237" s="448"/>
      <c r="E237" s="448"/>
      <c r="F237" s="448"/>
      <c r="G237" s="448"/>
      <c r="H237" s="448"/>
      <c r="I237" s="448"/>
      <c r="J237" s="448"/>
      <c r="K237" s="448"/>
      <c r="L237" s="487">
        <v>143</v>
      </c>
      <c r="M237" s="452">
        <f>IF(L237&lt;='B1b '!$G$41,'B1b '!$H$41,IF(AND(L237&lt;='B1b '!$G$40,L237&gt;'B1b '!$G$41),0+(('B1b '!$H$41-'B1b '!$H$40)/('B1b '!$G$41-'B1b '!$G$40))*(L237-'B1b '!$G$40),0))</f>
        <v>0</v>
      </c>
      <c r="N237" s="448"/>
      <c r="O237" s="448"/>
      <c r="P237" s="448"/>
      <c r="Q237" s="446"/>
    </row>
    <row r="238" spans="2:17">
      <c r="B238" s="446"/>
      <c r="C238" s="448"/>
      <c r="D238" s="448"/>
      <c r="E238" s="448"/>
      <c r="F238" s="448"/>
      <c r="G238" s="448"/>
      <c r="H238" s="448"/>
      <c r="I238" s="448"/>
      <c r="J238" s="448"/>
      <c r="K238" s="448"/>
      <c r="L238" s="487">
        <v>144</v>
      </c>
      <c r="M238" s="452">
        <f>IF(L238&lt;='B1b '!$G$41,'B1b '!$H$41,IF(AND(L238&lt;='B1b '!$G$40,L238&gt;'B1b '!$G$41),0+(('B1b '!$H$41-'B1b '!$H$40)/('B1b '!$G$41-'B1b '!$G$40))*(L238-'B1b '!$G$40),0))</f>
        <v>0</v>
      </c>
      <c r="N238" s="448"/>
      <c r="O238" s="448"/>
      <c r="P238" s="448"/>
      <c r="Q238" s="446"/>
    </row>
    <row r="239" spans="2:17">
      <c r="B239" s="446"/>
      <c r="C239" s="448"/>
      <c r="D239" s="448"/>
      <c r="E239" s="448"/>
      <c r="F239" s="448"/>
      <c r="G239" s="448"/>
      <c r="H239" s="448"/>
      <c r="I239" s="448"/>
      <c r="J239" s="448"/>
      <c r="K239" s="448"/>
      <c r="L239" s="487">
        <v>145</v>
      </c>
      <c r="M239" s="452">
        <f>IF(L239&lt;='B1b '!$G$41,'B1b '!$H$41,IF(AND(L239&lt;='B1b '!$G$40,L239&gt;'B1b '!$G$41),0+(('B1b '!$H$41-'B1b '!$H$40)/('B1b '!$G$41-'B1b '!$G$40))*(L239-'B1b '!$G$40),0))</f>
        <v>0</v>
      </c>
      <c r="N239" s="448"/>
      <c r="O239" s="448"/>
      <c r="P239" s="448"/>
      <c r="Q239" s="446"/>
    </row>
    <row r="240" spans="2:17">
      <c r="B240" s="446"/>
      <c r="C240" s="448"/>
      <c r="D240" s="448"/>
      <c r="E240" s="448"/>
      <c r="F240" s="448"/>
      <c r="G240" s="448"/>
      <c r="H240" s="448"/>
      <c r="I240" s="448"/>
      <c r="J240" s="448"/>
      <c r="K240" s="448"/>
      <c r="L240" s="487">
        <v>146</v>
      </c>
      <c r="M240" s="452">
        <f>IF(L240&lt;='B1b '!$G$41,'B1b '!$H$41,IF(AND(L240&lt;='B1b '!$G$40,L240&gt;'B1b '!$G$41),0+(('B1b '!$H$41-'B1b '!$H$40)/('B1b '!$G$41-'B1b '!$G$40))*(L240-'B1b '!$G$40),0))</f>
        <v>0</v>
      </c>
      <c r="N240" s="448"/>
      <c r="O240" s="448"/>
      <c r="P240" s="448"/>
      <c r="Q240" s="446"/>
    </row>
    <row r="241" spans="2:17">
      <c r="B241" s="446"/>
      <c r="C241" s="448"/>
      <c r="D241" s="448"/>
      <c r="E241" s="448"/>
      <c r="F241" s="448"/>
      <c r="G241" s="448"/>
      <c r="H241" s="448"/>
      <c r="I241" s="448"/>
      <c r="J241" s="448"/>
      <c r="K241" s="448"/>
      <c r="L241" s="487">
        <v>147</v>
      </c>
      <c r="M241" s="452">
        <f>IF(L241&lt;='B1b '!$G$41,'B1b '!$H$41,IF(AND(L241&lt;='B1b '!$G$40,L241&gt;'B1b '!$G$41),0+(('B1b '!$H$41-'B1b '!$H$40)/('B1b '!$G$41-'B1b '!$G$40))*(L241-'B1b '!$G$40),0))</f>
        <v>0</v>
      </c>
      <c r="N241" s="448"/>
      <c r="O241" s="448"/>
      <c r="P241" s="448"/>
      <c r="Q241" s="446"/>
    </row>
    <row r="242" spans="2:17">
      <c r="B242" s="446"/>
      <c r="C242" s="448"/>
      <c r="D242" s="448"/>
      <c r="E242" s="448"/>
      <c r="F242" s="448"/>
      <c r="G242" s="448"/>
      <c r="H242" s="448"/>
      <c r="I242" s="448"/>
      <c r="J242" s="448"/>
      <c r="K242" s="448"/>
      <c r="L242" s="487">
        <v>148</v>
      </c>
      <c r="M242" s="452">
        <f>IF(L242&lt;='B1b '!$G$41,'B1b '!$H$41,IF(AND(L242&lt;='B1b '!$G$40,L242&gt;'B1b '!$G$41),0+(('B1b '!$H$41-'B1b '!$H$40)/('B1b '!$G$41-'B1b '!$G$40))*(L242-'B1b '!$G$40),0))</f>
        <v>0</v>
      </c>
      <c r="N242" s="448"/>
      <c r="O242" s="448"/>
      <c r="P242" s="448"/>
      <c r="Q242" s="446"/>
    </row>
    <row r="243" spans="2:17">
      <c r="B243" s="446"/>
      <c r="C243" s="448"/>
      <c r="D243" s="448"/>
      <c r="E243" s="448"/>
      <c r="F243" s="448"/>
      <c r="G243" s="448"/>
      <c r="H243" s="448"/>
      <c r="I243" s="448"/>
      <c r="J243" s="448"/>
      <c r="K243" s="448"/>
      <c r="L243" s="487">
        <v>149</v>
      </c>
      <c r="M243" s="452">
        <f>IF(L243&lt;='B1b '!$G$41,'B1b '!$H$41,IF(AND(L243&lt;='B1b '!$G$40,L243&gt;'B1b '!$G$41),0+(('B1b '!$H$41-'B1b '!$H$40)/('B1b '!$G$41-'B1b '!$G$40))*(L243-'B1b '!$G$40),0))</f>
        <v>0</v>
      </c>
      <c r="N243" s="448"/>
      <c r="O243" s="448"/>
      <c r="P243" s="448"/>
      <c r="Q243" s="446"/>
    </row>
    <row r="244" spans="2:17">
      <c r="B244" s="446"/>
      <c r="C244" s="448"/>
      <c r="D244" s="448"/>
      <c r="E244" s="448"/>
      <c r="F244" s="448"/>
      <c r="G244" s="448"/>
      <c r="H244" s="448"/>
      <c r="I244" s="448"/>
      <c r="J244" s="448"/>
      <c r="K244" s="448"/>
      <c r="L244" s="487">
        <v>150</v>
      </c>
      <c r="M244" s="452">
        <f>IF(L244&lt;='B1b '!$G$41,'B1b '!$H$41,IF(AND(L244&lt;='B1b '!$G$40,L244&gt;'B1b '!$G$41),0+(('B1b '!$H$41-'B1b '!$H$40)/('B1b '!$G$41-'B1b '!$G$40))*(L244-'B1b '!$G$40),0))</f>
        <v>0</v>
      </c>
      <c r="N244" s="448"/>
      <c r="O244" s="448"/>
      <c r="P244" s="448"/>
      <c r="Q244" s="446"/>
    </row>
    <row r="245" spans="2:17">
      <c r="B245" s="446"/>
      <c r="C245" s="446"/>
      <c r="D245" s="446"/>
      <c r="E245" s="446"/>
      <c r="F245" s="446"/>
      <c r="G245" s="446"/>
      <c r="H245" s="446"/>
      <c r="I245" s="446"/>
      <c r="J245" s="446"/>
      <c r="K245" s="446"/>
      <c r="L245" s="446"/>
      <c r="M245" s="446"/>
      <c r="N245" s="446"/>
      <c r="O245" s="446"/>
      <c r="P245" s="446"/>
      <c r="Q245" s="446"/>
    </row>
    <row r="246" spans="2:17">
      <c r="B246" s="446"/>
      <c r="C246" s="446"/>
      <c r="D246" s="446"/>
      <c r="E246" s="446"/>
      <c r="F246" s="446"/>
      <c r="G246" s="446"/>
      <c r="H246" s="446"/>
      <c r="I246" s="446"/>
      <c r="J246" s="446"/>
      <c r="K246" s="446"/>
      <c r="L246" s="446"/>
      <c r="M246" s="446"/>
      <c r="N246" s="446"/>
      <c r="O246" s="446"/>
      <c r="P246" s="446"/>
      <c r="Q246" s="446"/>
    </row>
    <row r="247" spans="2:17">
      <c r="B247" s="446"/>
      <c r="C247" s="446"/>
      <c r="D247" s="446"/>
      <c r="E247" s="446"/>
      <c r="F247" s="446"/>
      <c r="G247" s="446"/>
      <c r="H247" s="446"/>
      <c r="I247" s="446"/>
      <c r="J247" s="446"/>
      <c r="K247" s="446"/>
      <c r="L247" s="446"/>
      <c r="M247" s="446"/>
      <c r="N247" s="446"/>
      <c r="O247" s="446"/>
      <c r="P247" s="446"/>
      <c r="Q247" s="446"/>
    </row>
  </sheetData>
  <mergeCells count="6">
    <mergeCell ref="B2:Q3"/>
    <mergeCell ref="C92:D92"/>
    <mergeCell ref="F92:G92"/>
    <mergeCell ref="I92:J92"/>
    <mergeCell ref="L92:M92"/>
    <mergeCell ref="O92:P92"/>
  </mergeCells>
  <pageMargins left="0.7" right="0.7" top="0.78740157499999996" bottom="0.78740157499999996" header="0.3" footer="0.3"/>
  <pageSetup paperSize="9" scale="2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C1565-FE89-4589-81B7-FC95EDC911D2}">
  <sheetPr>
    <pageSetUpPr fitToPage="1"/>
  </sheetPr>
  <dimension ref="A1:F6"/>
  <sheetViews>
    <sheetView showGridLines="0" zoomScale="85" zoomScaleNormal="85" workbookViewId="0">
      <selection activeCell="F4" sqref="F4"/>
    </sheetView>
  </sheetViews>
  <sheetFormatPr baseColWidth="10" defaultColWidth="11.42578125" defaultRowHeight="14.25"/>
  <cols>
    <col min="1" max="1" width="33.28515625" style="650" customWidth="1"/>
    <col min="2" max="2" width="66.5703125" style="650" customWidth="1"/>
    <col min="3" max="3" width="19.5703125" style="650" customWidth="1"/>
    <col min="4" max="4" width="30.7109375" style="654" customWidth="1"/>
    <col min="5" max="5" width="11.42578125" style="650" hidden="1" customWidth="1"/>
    <col min="6" max="6" width="14" style="650" customWidth="1"/>
    <col min="7" max="16384" width="11.42578125" style="650"/>
  </cols>
  <sheetData>
    <row r="1" spans="1:6" ht="24.95" customHeight="1">
      <c r="A1" s="874" t="s">
        <v>397</v>
      </c>
      <c r="B1" s="874"/>
      <c r="C1" s="874"/>
      <c r="D1" s="649"/>
    </row>
    <row r="2" spans="1:6" ht="7.5" customHeight="1" thickBot="1">
      <c r="A2" s="176"/>
      <c r="B2" s="145"/>
      <c r="C2" s="187"/>
      <c r="D2" s="239"/>
    </row>
    <row r="3" spans="1:6" ht="32.25" thickBot="1">
      <c r="A3" s="582" t="s">
        <v>62</v>
      </c>
      <c r="B3" s="632" t="s">
        <v>76</v>
      </c>
      <c r="C3" s="651" t="s">
        <v>199</v>
      </c>
      <c r="D3" s="570" t="s">
        <v>63</v>
      </c>
      <c r="E3" s="166">
        <v>0</v>
      </c>
      <c r="F3" s="652" t="s">
        <v>24</v>
      </c>
    </row>
    <row r="4" spans="1:6" ht="21" customHeight="1">
      <c r="A4" s="1006" t="s">
        <v>398</v>
      </c>
      <c r="B4" s="653" t="s">
        <v>399</v>
      </c>
      <c r="C4" s="229">
        <v>5</v>
      </c>
      <c r="D4" s="1008"/>
      <c r="E4" s="166">
        <v>5</v>
      </c>
      <c r="F4" s="492"/>
    </row>
    <row r="5" spans="1:6" ht="24.75" customHeight="1" thickBot="1">
      <c r="A5" s="1007"/>
      <c r="B5" s="230" t="s">
        <v>400</v>
      </c>
      <c r="C5" s="362">
        <v>10</v>
      </c>
      <c r="D5" s="1009"/>
      <c r="E5" s="166">
        <v>10</v>
      </c>
      <c r="F5" s="492"/>
    </row>
    <row r="6" spans="1:6" ht="16.5" thickBot="1">
      <c r="A6" s="956" t="s">
        <v>31</v>
      </c>
      <c r="B6" s="957"/>
      <c r="C6" s="627"/>
      <c r="D6" s="568">
        <f>D4</f>
        <v>0</v>
      </c>
      <c r="E6" s="357"/>
      <c r="F6" s="629"/>
    </row>
  </sheetData>
  <sheetProtection algorithmName="SHA-512" hashValue="TrJK/UHT5+yHqQpbC8uJNcIYdudSftbqVRpFpY1my8Kt+LZu2ZefRyMl/fY3J97e0FdS5vKTfx9YonrzSlyB9g==" saltValue="37Tq7OeuVqERMO2giM2ZwQ==" spinCount="100000" sheet="1" selectLockedCells="1"/>
  <mergeCells count="4">
    <mergeCell ref="A1:C1"/>
    <mergeCell ref="A4:A5"/>
    <mergeCell ref="D4:D5"/>
    <mergeCell ref="A6:B6"/>
  </mergeCells>
  <dataValidations count="1">
    <dataValidation type="list" allowBlank="1" showInputMessage="1" showErrorMessage="1" errorTitle="Falscher Wert!" error="Bitte geben Sie die Zahl 0 oder 5 ein." sqref="D4:D5" xr:uid="{9C65F768-F96D-46B3-9AA2-1ACFBA1FC937}">
      <formula1>$E$3:$E$5</formula1>
    </dataValidation>
  </dataValidations>
  <printOptions horizontalCentered="1"/>
  <pageMargins left="0.59055118110236227" right="0.59055118110236227" top="0.59055118110236227" bottom="0.59055118110236227" header="0.31496062992125984" footer="0.31496062992125984"/>
  <pageSetup paperSize="9" scale="9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21"/>
  <sheetViews>
    <sheetView showGridLines="0" topLeftCell="B1" zoomScaleNormal="100" workbookViewId="0">
      <selection activeCell="H6" sqref="H6"/>
    </sheetView>
  </sheetViews>
  <sheetFormatPr baseColWidth="10" defaultColWidth="11.42578125" defaultRowHeight="12.75"/>
  <cols>
    <col min="1" max="1" width="112" style="165" customWidth="1"/>
    <col min="2" max="2" width="17.7109375" style="165" customWidth="1"/>
    <col min="3" max="3" width="17.140625" style="165" customWidth="1"/>
    <col min="4" max="4" width="0.140625" style="165" hidden="1" customWidth="1"/>
    <col min="5" max="5" width="9.5703125" style="165" hidden="1" customWidth="1"/>
    <col min="6" max="6" width="0.28515625" style="165" hidden="1" customWidth="1"/>
    <col min="7" max="7" width="0.140625" style="165" hidden="1" customWidth="1"/>
    <col min="8" max="8" width="30.7109375" style="166" customWidth="1"/>
    <col min="9" max="9" width="11.42578125" style="165"/>
    <col min="10" max="11" width="13.7109375" style="165" customWidth="1"/>
    <col min="12" max="12" width="12.140625" style="165" customWidth="1"/>
    <col min="13" max="16384" width="11.42578125" style="165"/>
  </cols>
  <sheetData>
    <row r="1" spans="1:14" s="150" customFormat="1" ht="24.95" customHeight="1">
      <c r="A1" s="874" t="s">
        <v>405</v>
      </c>
      <c r="B1" s="874"/>
      <c r="C1" s="874"/>
      <c r="D1" s="170"/>
      <c r="E1" s="170"/>
      <c r="F1" s="170"/>
      <c r="G1" s="170"/>
      <c r="H1" s="224"/>
    </row>
    <row r="2" spans="1:14" s="150" customFormat="1" ht="7.5" customHeight="1">
      <c r="A2" s="170"/>
      <c r="B2" s="170"/>
      <c r="C2" s="170"/>
      <c r="D2" s="170"/>
      <c r="E2" s="170"/>
      <c r="F2" s="170"/>
      <c r="G2" s="170"/>
      <c r="H2" s="224"/>
    </row>
    <row r="3" spans="1:14" s="150" customFormat="1" ht="41.25" customHeight="1" thickBot="1">
      <c r="A3" s="168" t="s">
        <v>180</v>
      </c>
      <c r="B3" s="170"/>
      <c r="C3" s="170"/>
      <c r="D3" s="170"/>
      <c r="E3" s="170"/>
      <c r="F3" s="170"/>
      <c r="G3" s="170"/>
      <c r="H3" s="224"/>
    </row>
    <row r="4" spans="1:14" ht="32.25" customHeight="1" thickBot="1">
      <c r="A4" s="171" t="s">
        <v>62</v>
      </c>
      <c r="B4" s="364" t="s">
        <v>181</v>
      </c>
      <c r="C4" s="369" t="s">
        <v>182</v>
      </c>
      <c r="H4" s="158" t="s">
        <v>24</v>
      </c>
      <c r="J4" s="1010" t="s">
        <v>183</v>
      </c>
      <c r="K4" s="1011"/>
      <c r="L4" s="1011"/>
      <c r="M4" s="1012"/>
    </row>
    <row r="5" spans="1:14" s="144" customFormat="1" ht="30" customHeight="1">
      <c r="A5" s="370" t="s">
        <v>184</v>
      </c>
      <c r="B5" s="371"/>
      <c r="C5" s="372"/>
      <c r="D5" s="144">
        <v>0</v>
      </c>
      <c r="H5" s="494"/>
      <c r="J5" s="1013" t="s">
        <v>185</v>
      </c>
      <c r="K5" s="1014"/>
      <c r="L5" s="373"/>
      <c r="M5" s="374" t="s">
        <v>186</v>
      </c>
    </row>
    <row r="6" spans="1:14" s="144" customFormat="1" ht="30" customHeight="1">
      <c r="A6" s="169" t="s">
        <v>187</v>
      </c>
      <c r="B6" s="172">
        <v>20</v>
      </c>
      <c r="C6" s="1015"/>
      <c r="D6" s="144">
        <f>B6</f>
        <v>20</v>
      </c>
      <c r="H6" s="494"/>
      <c r="J6" s="1018" t="s">
        <v>188</v>
      </c>
      <c r="K6" s="1019"/>
      <c r="L6" s="375">
        <f>(450/2860)*L5</f>
        <v>0</v>
      </c>
      <c r="M6" s="376" t="s">
        <v>189</v>
      </c>
    </row>
    <row r="7" spans="1:14" s="144" customFormat="1" ht="30" customHeight="1" thickBot="1">
      <c r="A7" s="169" t="s">
        <v>246</v>
      </c>
      <c r="B7" s="172">
        <v>30</v>
      </c>
      <c r="C7" s="1016"/>
      <c r="D7" s="144">
        <f>B7</f>
        <v>30</v>
      </c>
      <c r="H7" s="494"/>
      <c r="I7" s="377"/>
      <c r="J7" s="1020" t="s">
        <v>190</v>
      </c>
      <c r="K7" s="1021"/>
      <c r="L7" s="315">
        <f>L6*0.8</f>
        <v>0</v>
      </c>
      <c r="M7" s="378" t="s">
        <v>189</v>
      </c>
      <c r="N7" s="377"/>
    </row>
    <row r="8" spans="1:14" s="144" customFormat="1" ht="30" customHeight="1">
      <c r="A8" s="169" t="s">
        <v>191</v>
      </c>
      <c r="B8" s="172">
        <v>50</v>
      </c>
      <c r="C8" s="1016"/>
      <c r="D8" s="144">
        <f>B8</f>
        <v>50</v>
      </c>
      <c r="H8" s="494"/>
      <c r="I8" s="377"/>
      <c r="J8" s="377"/>
      <c r="K8" s="377"/>
      <c r="L8" s="377"/>
      <c r="M8" s="377"/>
      <c r="N8" s="377"/>
    </row>
    <row r="9" spans="1:14" s="377" customFormat="1" ht="30" customHeight="1">
      <c r="A9" s="169" t="s">
        <v>192</v>
      </c>
      <c r="B9" s="229">
        <v>65</v>
      </c>
      <c r="C9" s="1017"/>
      <c r="D9" s="144">
        <f>B9</f>
        <v>65</v>
      </c>
      <c r="E9" s="144"/>
      <c r="F9" s="144"/>
      <c r="G9" s="144"/>
      <c r="H9" s="494"/>
    </row>
    <row r="10" spans="1:14" s="377" customFormat="1" ht="30" customHeight="1">
      <c r="A10" s="370" t="s">
        <v>193</v>
      </c>
      <c r="B10" s="371"/>
      <c r="C10" s="372"/>
      <c r="D10" s="144"/>
      <c r="E10" s="144"/>
      <c r="F10" s="144"/>
      <c r="G10" s="144"/>
      <c r="H10" s="492"/>
    </row>
    <row r="11" spans="1:14" s="377" customFormat="1" ht="30" customHeight="1">
      <c r="A11" s="169" t="s">
        <v>194</v>
      </c>
      <c r="B11" s="229">
        <v>10</v>
      </c>
      <c r="C11" s="379"/>
      <c r="D11" s="144">
        <v>0</v>
      </c>
      <c r="E11" s="144"/>
      <c r="F11" s="144"/>
      <c r="G11" s="144"/>
      <c r="H11" s="492"/>
    </row>
    <row r="12" spans="1:14" ht="24.95" customHeight="1" thickBot="1">
      <c r="A12" s="173" t="s">
        <v>31</v>
      </c>
      <c r="B12" s="380" t="s">
        <v>195</v>
      </c>
      <c r="C12" s="174">
        <f>C6+C11</f>
        <v>0</v>
      </c>
      <c r="D12" s="144">
        <v>10</v>
      </c>
      <c r="E12" s="377"/>
      <c r="F12" s="377"/>
      <c r="H12" s="228"/>
    </row>
    <row r="13" spans="1:14">
      <c r="D13" s="144"/>
    </row>
    <row r="15" spans="1:14" ht="51" customHeight="1">
      <c r="A15" s="827" t="s">
        <v>196</v>
      </c>
      <c r="B15" s="827"/>
      <c r="C15" s="827"/>
    </row>
    <row r="18" spans="1:8" ht="40.5" customHeight="1" thickBot="1">
      <c r="A18" s="463" t="s">
        <v>266</v>
      </c>
      <c r="B18" s="464"/>
      <c r="C18" s="464"/>
      <c r="D18" s="309"/>
      <c r="E18" s="166"/>
    </row>
    <row r="19" spans="1:8" ht="30" customHeight="1">
      <c r="A19" s="171" t="s">
        <v>62</v>
      </c>
      <c r="B19" s="248" t="s">
        <v>197</v>
      </c>
      <c r="C19" s="249" t="s">
        <v>182</v>
      </c>
      <c r="E19" s="221"/>
      <c r="H19" s="158" t="s">
        <v>24</v>
      </c>
    </row>
    <row r="20" spans="1:8" ht="30" customHeight="1">
      <c r="A20" s="247" t="s">
        <v>198</v>
      </c>
      <c r="B20" s="222">
        <v>50</v>
      </c>
      <c r="C20" s="250"/>
      <c r="E20" s="169"/>
      <c r="H20" s="494"/>
    </row>
    <row r="21" spans="1:8" ht="30" customHeight="1" thickBot="1">
      <c r="A21" s="173" t="s">
        <v>31</v>
      </c>
      <c r="B21" s="381">
        <v>50</v>
      </c>
      <c r="C21" s="174">
        <f>IF(C20&gt;50,"Fehler",C20)</f>
        <v>0</v>
      </c>
      <c r="E21" s="310"/>
      <c r="H21" s="494"/>
    </row>
  </sheetData>
  <sheetProtection algorithmName="SHA-512" hashValue="Ax2B0oc0iqOapxGi3IhzCIXGMhNq6XkOgeQwiqt+erhP36P21+upqbw9ZkCLklOs0R+ro1QcMP/qAyWlJNuUKg==" saltValue="2PrOUqmR/cjVswvCSkZHpg==" spinCount="100000" sheet="1" selectLockedCells="1"/>
  <mergeCells count="7">
    <mergeCell ref="A15:C15"/>
    <mergeCell ref="A1:C1"/>
    <mergeCell ref="J4:M4"/>
    <mergeCell ref="J5:K5"/>
    <mergeCell ref="C6:C9"/>
    <mergeCell ref="J6:K6"/>
    <mergeCell ref="J7:K7"/>
  </mergeCells>
  <dataValidations count="2">
    <dataValidation type="list" allowBlank="1" showInputMessage="1" showErrorMessage="1" sqref="C6:C9" xr:uid="{00000000-0002-0000-0B00-000000000000}">
      <formula1>$D$5:$D$9</formula1>
    </dataValidation>
    <dataValidation type="list" allowBlank="1" showInputMessage="1" showErrorMessage="1" sqref="C11" xr:uid="{00000000-0002-0000-0B00-000001000000}">
      <formula1>$D$11:$D$12</formula1>
    </dataValidation>
  </dataValidations>
  <printOptions horizontalCentered="1"/>
  <pageMargins left="0.59055118110236227" right="0.59055118110236227" top="0.59055118110236227" bottom="0.59055118110236227" header="0.31496062992125984" footer="0.31496062992125984"/>
  <pageSetup paperSize="9" scale="5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G72"/>
  <sheetViews>
    <sheetView showGridLines="0" zoomScaleNormal="100" workbookViewId="0">
      <selection activeCell="D3" sqref="D3:D7"/>
    </sheetView>
  </sheetViews>
  <sheetFormatPr baseColWidth="10" defaultColWidth="11.42578125" defaultRowHeight="12.75"/>
  <cols>
    <col min="1" max="1" width="11.42578125" style="165"/>
    <col min="2" max="2" width="24.42578125" style="165" customWidth="1"/>
    <col min="3" max="3" width="23.140625" style="165" customWidth="1"/>
    <col min="4" max="4" width="13.7109375" style="165" customWidth="1"/>
    <col min="5" max="5" width="11.42578125" style="165" hidden="1" customWidth="1"/>
    <col min="6" max="6" width="30.7109375" style="175" customWidth="1"/>
    <col min="7" max="7" width="2.7109375" style="165" customWidth="1"/>
    <col min="8" max="16384" width="11.42578125" style="165"/>
  </cols>
  <sheetData>
    <row r="1" spans="1:7" ht="24.95" customHeight="1" thickBot="1">
      <c r="A1" s="1022" t="s">
        <v>200</v>
      </c>
      <c r="B1" s="1022"/>
      <c r="C1" s="1022"/>
      <c r="D1" s="1022"/>
      <c r="E1" s="138"/>
      <c r="F1" s="225"/>
    </row>
    <row r="2" spans="1:7" ht="24.95" customHeight="1">
      <c r="A2" s="1023" t="s">
        <v>201</v>
      </c>
      <c r="B2" s="1024"/>
      <c r="C2" s="1024"/>
      <c r="D2" s="227" t="s">
        <v>63</v>
      </c>
      <c r="E2" s="144"/>
      <c r="F2" s="159" t="s">
        <v>24</v>
      </c>
      <c r="G2" s="144"/>
    </row>
    <row r="3" spans="1:7" s="144" customFormat="1" ht="24.95" customHeight="1">
      <c r="A3" s="177" t="s">
        <v>202</v>
      </c>
      <c r="B3" s="178" t="s">
        <v>203</v>
      </c>
      <c r="C3" s="179" t="s">
        <v>204</v>
      </c>
      <c r="D3" s="894"/>
      <c r="E3" s="144">
        <v>0</v>
      </c>
      <c r="F3" s="494"/>
    </row>
    <row r="4" spans="1:7" s="144" customFormat="1" ht="24.95" customHeight="1">
      <c r="A4" s="177" t="s">
        <v>205</v>
      </c>
      <c r="B4" s="178" t="s">
        <v>206</v>
      </c>
      <c r="C4" s="179" t="s">
        <v>207</v>
      </c>
      <c r="D4" s="895"/>
      <c r="E4" s="144">
        <v>20</v>
      </c>
      <c r="F4" s="494"/>
    </row>
    <row r="5" spans="1:7" s="144" customFormat="1" ht="24.95" customHeight="1">
      <c r="A5" s="177" t="s">
        <v>208</v>
      </c>
      <c r="B5" s="178" t="s">
        <v>209</v>
      </c>
      <c r="C5" s="179" t="s">
        <v>210</v>
      </c>
      <c r="D5" s="895"/>
      <c r="E5" s="144">
        <v>35</v>
      </c>
      <c r="F5" s="494"/>
    </row>
    <row r="6" spans="1:7" s="144" customFormat="1" ht="24.95" customHeight="1">
      <c r="A6" s="177" t="s">
        <v>211</v>
      </c>
      <c r="B6" s="178" t="s">
        <v>212</v>
      </c>
      <c r="C6" s="179" t="s">
        <v>213</v>
      </c>
      <c r="D6" s="895"/>
      <c r="E6" s="144">
        <v>50</v>
      </c>
      <c r="F6" s="494"/>
    </row>
    <row r="7" spans="1:7" s="144" customFormat="1" ht="24.95" customHeight="1">
      <c r="A7" s="180"/>
      <c r="B7" s="178" t="s">
        <v>214</v>
      </c>
      <c r="C7" s="179" t="s">
        <v>215</v>
      </c>
      <c r="D7" s="896"/>
      <c r="F7" s="494"/>
    </row>
    <row r="8" spans="1:7" s="144" customFormat="1" ht="24.95" customHeight="1">
      <c r="A8" s="1025" t="s">
        <v>216</v>
      </c>
      <c r="B8" s="1026"/>
      <c r="C8" s="1027"/>
      <c r="D8" s="226"/>
      <c r="F8" s="494"/>
    </row>
    <row r="9" spans="1:7" s="144" customFormat="1" ht="24.95" customHeight="1">
      <c r="A9" s="177" t="s">
        <v>202</v>
      </c>
      <c r="B9" s="178" t="s">
        <v>217</v>
      </c>
      <c r="C9" s="179" t="s">
        <v>210</v>
      </c>
      <c r="D9" s="895"/>
      <c r="E9" s="144">
        <v>0</v>
      </c>
      <c r="F9" s="494"/>
    </row>
    <row r="10" spans="1:7" s="144" customFormat="1" ht="24.95" customHeight="1">
      <c r="A10" s="177" t="s">
        <v>205</v>
      </c>
      <c r="B10" s="178" t="s">
        <v>218</v>
      </c>
      <c r="C10" s="179" t="s">
        <v>219</v>
      </c>
      <c r="D10" s="895"/>
      <c r="E10" s="144">
        <v>5</v>
      </c>
      <c r="F10" s="494"/>
    </row>
    <row r="11" spans="1:7" s="144" customFormat="1" ht="24.95" customHeight="1">
      <c r="A11" s="177" t="s">
        <v>208</v>
      </c>
      <c r="B11" s="178" t="s">
        <v>220</v>
      </c>
      <c r="C11" s="179" t="s">
        <v>221</v>
      </c>
      <c r="D11" s="895"/>
      <c r="E11" s="144">
        <v>10</v>
      </c>
      <c r="F11" s="494"/>
    </row>
    <row r="12" spans="1:7" s="144" customFormat="1" ht="24.95" customHeight="1">
      <c r="A12" s="181" t="s">
        <v>211</v>
      </c>
      <c r="B12" s="182" t="s">
        <v>222</v>
      </c>
      <c r="C12" s="183" t="s">
        <v>213</v>
      </c>
      <c r="D12" s="896"/>
      <c r="E12" s="144">
        <v>20</v>
      </c>
      <c r="F12" s="494"/>
    </row>
    <row r="13" spans="1:7" s="144" customFormat="1" ht="24.95" customHeight="1" thickBot="1">
      <c r="A13" s="184" t="s">
        <v>31</v>
      </c>
      <c r="B13" s="185"/>
      <c r="C13" s="186"/>
      <c r="D13" s="174">
        <f>SUM(D3,D9)</f>
        <v>0</v>
      </c>
      <c r="E13" s="140"/>
      <c r="F13" s="167"/>
      <c r="G13" s="140"/>
    </row>
    <row r="14" spans="1:7" s="140" customFormat="1" ht="24.95" customHeight="1" thickBot="1">
      <c r="A14" s="138"/>
      <c r="B14" s="165"/>
      <c r="C14" s="165"/>
      <c r="D14" s="165"/>
      <c r="E14" s="464"/>
      <c r="F14" s="175"/>
      <c r="G14" s="165"/>
    </row>
    <row r="15" spans="1:7" ht="24.95" customHeight="1"/>
    <row r="16" spans="1:7" ht="24.95" customHeight="1"/>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14.2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7" ht="12.75" customHeight="1"/>
    <row r="69" ht="12.75" customHeight="1"/>
    <row r="72" ht="12.75" customHeight="1"/>
  </sheetData>
  <sheetProtection algorithmName="SHA-512" hashValue="GvPvZSH4FrP7//y8KCmtCSzMAwy55nKyx1UwmholZoV2Sbv6rDgLCCSQuMvaMDGoV1sAr1awjJO79+H2dgCflA==" saltValue="VUF8hfwVPP+cq/8pSj1PyQ==" spinCount="100000" sheet="1" selectLockedCells="1"/>
  <mergeCells count="5">
    <mergeCell ref="A1:D1"/>
    <mergeCell ref="D3:D7"/>
    <mergeCell ref="D9:D12"/>
    <mergeCell ref="A2:C2"/>
    <mergeCell ref="A8:C8"/>
  </mergeCells>
  <phoneticPr fontId="45" type="noConversion"/>
  <dataValidations count="2">
    <dataValidation type="list" allowBlank="1" showInputMessage="1" showErrorMessage="1" errorTitle="Falscher Wert!" error="Bitte geben Sie die Zahl 0,20,35 oder 50 ein." sqref="D3:D7" xr:uid="{00000000-0002-0000-0D00-000000000000}">
      <formula1>$E$3:$E$6</formula1>
    </dataValidation>
    <dataValidation type="list" allowBlank="1" showInputMessage="1" showErrorMessage="1" errorTitle="Falscher Wert!" error="Bitte geben Sie die Zahl 0,10,20 oder 30 ein." sqref="D9:D12" xr:uid="{00000000-0002-0000-0D00-000001000000}">
      <formula1>$E$9:$E$12</formula1>
    </dataValidation>
  </dataValidations>
  <printOptions horizontalCentered="1"/>
  <pageMargins left="0.59055118110236227" right="0.59055118110236227" top="0.59055118110236227" bottom="0.59055118110236227" header="0.31496062992125984" footer="0.31496062992125984"/>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L40"/>
  <sheetViews>
    <sheetView showGridLines="0" zoomScale="85" zoomScaleNormal="85" workbookViewId="0">
      <selection activeCell="C21" sqref="C21"/>
    </sheetView>
  </sheetViews>
  <sheetFormatPr baseColWidth="10" defaultColWidth="11.42578125" defaultRowHeight="12.75"/>
  <cols>
    <col min="1" max="1" width="55.7109375" style="165" customWidth="1"/>
    <col min="2" max="2" width="15.7109375" style="239" customWidth="1"/>
    <col min="3" max="3" width="30.7109375" style="191" customWidth="1"/>
    <col min="4" max="4" width="2.7109375" style="165" customWidth="1"/>
    <col min="5" max="5" width="11.42578125" style="165" customWidth="1"/>
    <col min="6" max="6" width="17.7109375" style="165" hidden="1" customWidth="1"/>
    <col min="7" max="8" width="11.42578125" style="165" hidden="1" customWidth="1"/>
    <col min="9" max="12" width="0" style="165" hidden="1" customWidth="1"/>
    <col min="13" max="16384" width="11.42578125" style="165"/>
  </cols>
  <sheetData>
    <row r="1" spans="1:12" ht="23.1" customHeight="1" thickBot="1">
      <c r="A1" s="874" t="s">
        <v>409</v>
      </c>
      <c r="B1" s="874"/>
      <c r="C1" s="175"/>
      <c r="F1" s="987" t="s">
        <v>28</v>
      </c>
      <c r="G1" s="988"/>
      <c r="H1" s="989"/>
      <c r="J1" s="987" t="s">
        <v>28</v>
      </c>
      <c r="K1" s="988"/>
      <c r="L1" s="989"/>
    </row>
    <row r="2" spans="1:12" ht="15" customHeight="1">
      <c r="A2" s="176"/>
      <c r="B2" s="176"/>
    </row>
    <row r="3" spans="1:12" ht="23.1" customHeight="1" thickBot="1">
      <c r="A3" s="465" t="s">
        <v>180</v>
      </c>
      <c r="B3" s="462"/>
    </row>
    <row r="4" spans="1:12" s="144" customFormat="1" ht="24.95" customHeight="1">
      <c r="A4" s="238" t="s">
        <v>62</v>
      </c>
      <c r="B4" s="311" t="s">
        <v>40</v>
      </c>
      <c r="C4" s="324" t="s">
        <v>24</v>
      </c>
      <c r="F4" s="467"/>
      <c r="G4" s="468" t="s">
        <v>165</v>
      </c>
      <c r="H4" s="469" t="s">
        <v>40</v>
      </c>
      <c r="J4" s="467"/>
      <c r="K4" s="468" t="s">
        <v>165</v>
      </c>
      <c r="L4" s="469" t="s">
        <v>40</v>
      </c>
    </row>
    <row r="5" spans="1:12" s="144" customFormat="1" ht="23.1" customHeight="1">
      <c r="A5" s="312" t="s">
        <v>236</v>
      </c>
      <c r="B5" s="325"/>
      <c r="C5" s="203"/>
      <c r="F5" s="470" t="s">
        <v>240</v>
      </c>
      <c r="G5" s="471">
        <v>750</v>
      </c>
      <c r="H5" s="472">
        <v>0</v>
      </c>
      <c r="J5" s="470" t="s">
        <v>283</v>
      </c>
      <c r="K5" s="527">
        <v>650</v>
      </c>
      <c r="L5" s="472">
        <v>0</v>
      </c>
    </row>
    <row r="6" spans="1:12" s="144" customFormat="1" ht="23.1" customHeight="1" thickBot="1">
      <c r="A6" s="144" t="s">
        <v>282</v>
      </c>
      <c r="B6" s="526"/>
      <c r="C6" s="203"/>
      <c r="F6" s="470"/>
      <c r="G6" s="471"/>
      <c r="H6" s="472"/>
      <c r="J6" s="470"/>
      <c r="K6" s="471"/>
      <c r="L6" s="472"/>
    </row>
    <row r="7" spans="1:12" s="144" customFormat="1" ht="23.1" customHeight="1" thickBot="1">
      <c r="A7" s="529" t="s">
        <v>285</v>
      </c>
      <c r="B7" s="530">
        <f>IF(B5="",0,IF(B5&lt;=G8,H8,IF(B5&gt;G5,0,H8+(H5-H8)/(G5-G8)*(B5-G8))))</f>
        <v>0</v>
      </c>
      <c r="C7" s="203"/>
      <c r="F7" s="470"/>
      <c r="G7" s="471"/>
      <c r="H7" s="472"/>
      <c r="J7" s="470" t="s">
        <v>284</v>
      </c>
      <c r="K7" s="471">
        <v>50</v>
      </c>
      <c r="L7" s="528">
        <v>55</v>
      </c>
    </row>
    <row r="8" spans="1:12" s="144" customFormat="1" ht="23.1" customHeight="1" thickBot="1">
      <c r="A8" s="531" t="s">
        <v>286</v>
      </c>
      <c r="B8" s="532">
        <f>IF(B6="",0,IF(B6&lt;=K7,L7,IF(B6&gt;K5,0,L7+(L5-L7)/(K5-K7)*(B6-K7))))</f>
        <v>0</v>
      </c>
      <c r="C8" s="334"/>
      <c r="F8" s="470" t="s">
        <v>241</v>
      </c>
      <c r="G8" s="471">
        <v>150</v>
      </c>
      <c r="H8" s="472">
        <v>120</v>
      </c>
    </row>
    <row r="9" spans="1:12" s="144" customFormat="1" ht="15" customHeight="1" thickBot="1">
      <c r="A9" s="531" t="s">
        <v>287</v>
      </c>
      <c r="B9" s="533">
        <f>B7+B8</f>
        <v>0</v>
      </c>
      <c r="C9" s="175"/>
    </row>
    <row r="10" spans="1:12" ht="15" customHeight="1"/>
    <row r="11" spans="1:12" ht="23.1" customHeight="1" thickBot="1">
      <c r="A11" s="465" t="s">
        <v>267</v>
      </c>
      <c r="B11" s="466"/>
      <c r="C11" s="286"/>
    </row>
    <row r="12" spans="1:12" ht="24.95" customHeight="1">
      <c r="A12" s="238" t="s">
        <v>62</v>
      </c>
      <c r="B12" s="311" t="s">
        <v>40</v>
      </c>
      <c r="C12" s="324" t="s">
        <v>24</v>
      </c>
      <c r="F12" s="467"/>
      <c r="G12" s="468" t="s">
        <v>165</v>
      </c>
      <c r="H12" s="469" t="s">
        <v>40</v>
      </c>
      <c r="J12" s="467"/>
      <c r="K12" s="468" t="s">
        <v>165</v>
      </c>
      <c r="L12" s="469" t="s">
        <v>40</v>
      </c>
    </row>
    <row r="13" spans="1:12" ht="23.1" customHeight="1">
      <c r="A13" s="313" t="s">
        <v>236</v>
      </c>
      <c r="B13" s="335"/>
      <c r="C13" s="203"/>
      <c r="F13" s="470" t="s">
        <v>240</v>
      </c>
      <c r="G13" s="471">
        <v>750</v>
      </c>
      <c r="H13" s="472">
        <v>0</v>
      </c>
      <c r="J13" s="470" t="s">
        <v>283</v>
      </c>
      <c r="K13" s="527">
        <v>650</v>
      </c>
      <c r="L13" s="472">
        <v>0</v>
      </c>
    </row>
    <row r="14" spans="1:12" ht="23.1" customHeight="1" thickBot="1">
      <c r="A14" s="144" t="s">
        <v>282</v>
      </c>
      <c r="B14" s="526"/>
      <c r="C14" s="203"/>
      <c r="F14" s="470"/>
      <c r="G14" s="471"/>
      <c r="H14" s="472"/>
      <c r="J14" s="470"/>
      <c r="K14" s="471"/>
      <c r="L14" s="472"/>
    </row>
    <row r="15" spans="1:12" ht="23.1" customHeight="1" thickBot="1">
      <c r="A15" s="529" t="s">
        <v>285</v>
      </c>
      <c r="B15" s="530">
        <f>IF(B13="",0,IF(B13&lt;=G16,H16,IF(B13&gt;G13,0,H16+(H13-H16)/(G13-G16)*(B13-G16))))</f>
        <v>0</v>
      </c>
      <c r="C15" s="203"/>
      <c r="F15" s="470"/>
      <c r="G15" s="471"/>
      <c r="H15" s="472"/>
      <c r="J15" s="470" t="s">
        <v>284</v>
      </c>
      <c r="K15" s="471">
        <v>50</v>
      </c>
      <c r="L15" s="528">
        <v>65</v>
      </c>
    </row>
    <row r="16" spans="1:12" ht="23.1" customHeight="1" thickBot="1">
      <c r="A16" s="531" t="s">
        <v>286</v>
      </c>
      <c r="B16" s="532">
        <f>IF(B14="",0,IF(B14&lt;=K15,L15,IF(B14&gt;K13,0,L15+(L13-L15)/(K13-K15)*(B14-K15))))</f>
        <v>0</v>
      </c>
      <c r="C16" s="329"/>
      <c r="F16" s="470" t="s">
        <v>241</v>
      </c>
      <c r="G16" s="471">
        <v>150</v>
      </c>
      <c r="H16" s="472">
        <v>120</v>
      </c>
    </row>
    <row r="17" spans="1:12" ht="15" customHeight="1" thickBot="1">
      <c r="A17" s="531" t="s">
        <v>287</v>
      </c>
      <c r="B17" s="533">
        <f>B15+B16</f>
        <v>0</v>
      </c>
      <c r="C17" s="165"/>
    </row>
    <row r="18" spans="1:12" ht="23.1" customHeight="1">
      <c r="A18" s="164"/>
      <c r="C18" s="165"/>
    </row>
    <row r="19" spans="1:12" ht="23.1" customHeight="1" thickBot="1">
      <c r="A19" s="465" t="s">
        <v>268</v>
      </c>
      <c r="B19" s="466"/>
      <c r="C19" s="332"/>
    </row>
    <row r="20" spans="1:12" ht="24.95" customHeight="1">
      <c r="A20" s="238" t="s">
        <v>62</v>
      </c>
      <c r="B20" s="311" t="s">
        <v>40</v>
      </c>
      <c r="C20" s="324" t="s">
        <v>24</v>
      </c>
      <c r="F20" s="467"/>
      <c r="G20" s="468" t="s">
        <v>165</v>
      </c>
      <c r="H20" s="469" t="s">
        <v>40</v>
      </c>
      <c r="J20" s="467"/>
      <c r="K20" s="468" t="s">
        <v>165</v>
      </c>
      <c r="L20" s="469" t="s">
        <v>40</v>
      </c>
    </row>
    <row r="21" spans="1:12" ht="23.1" customHeight="1">
      <c r="A21" s="312" t="s">
        <v>236</v>
      </c>
      <c r="B21" s="325"/>
      <c r="C21" s="203"/>
      <c r="F21" s="470" t="s">
        <v>240</v>
      </c>
      <c r="G21" s="471">
        <v>750</v>
      </c>
      <c r="H21" s="472">
        <v>0</v>
      </c>
      <c r="J21" s="470" t="s">
        <v>283</v>
      </c>
      <c r="K21" s="527">
        <v>650</v>
      </c>
      <c r="L21" s="472">
        <v>0</v>
      </c>
    </row>
    <row r="22" spans="1:12" ht="23.1" customHeight="1" thickBot="1">
      <c r="A22" s="144" t="s">
        <v>282</v>
      </c>
      <c r="B22" s="526"/>
      <c r="C22" s="203"/>
      <c r="F22" s="470"/>
      <c r="G22" s="471"/>
      <c r="H22" s="472"/>
      <c r="J22" s="470"/>
      <c r="K22" s="471"/>
      <c r="L22" s="472"/>
    </row>
    <row r="23" spans="1:12" ht="23.1" customHeight="1" thickBot="1">
      <c r="A23" s="529" t="s">
        <v>285</v>
      </c>
      <c r="B23" s="530">
        <f>IF(B21="",0,IF(B21&lt;=G24,H24,IF(B21&gt;G21,0,H24+(H21-H24)/(G21-G24)*(B21-G24))))</f>
        <v>0</v>
      </c>
      <c r="C23" s="328"/>
      <c r="F23" s="470"/>
      <c r="G23" s="471"/>
      <c r="H23" s="472"/>
      <c r="J23" s="470" t="s">
        <v>284</v>
      </c>
      <c r="K23" s="471">
        <v>50</v>
      </c>
      <c r="L23" s="528">
        <v>85</v>
      </c>
    </row>
    <row r="24" spans="1:12" ht="23.1" customHeight="1" thickBot="1">
      <c r="A24" s="531" t="s">
        <v>286</v>
      </c>
      <c r="B24" s="532">
        <f>IF(B22="",0,IF(B22&lt;=K23,L23,IF(B22&gt;K21,0,L23+(L21-L23)/(K21-K23)*(B22-K23))))</f>
        <v>0</v>
      </c>
      <c r="C24" s="333"/>
      <c r="F24" s="470" t="s">
        <v>241</v>
      </c>
      <c r="G24" s="471">
        <v>150</v>
      </c>
      <c r="H24" s="472">
        <v>230</v>
      </c>
    </row>
    <row r="25" spans="1:12" ht="23.1" customHeight="1" thickBot="1">
      <c r="A25" s="531" t="s">
        <v>287</v>
      </c>
      <c r="B25" s="533">
        <f>B24+B23</f>
        <v>0</v>
      </c>
    </row>
    <row r="26" spans="1:12" ht="23.1" customHeight="1"/>
    <row r="27" spans="1:12" ht="23.1" customHeight="1" thickBot="1">
      <c r="A27" s="465" t="s">
        <v>238</v>
      </c>
      <c r="B27" s="466"/>
    </row>
    <row r="28" spans="1:12" ht="24.95" customHeight="1">
      <c r="A28" s="311" t="s">
        <v>62</v>
      </c>
      <c r="B28" s="314" t="s">
        <v>40</v>
      </c>
      <c r="C28" s="336" t="s">
        <v>24</v>
      </c>
      <c r="F28" s="467"/>
      <c r="G28" s="468" t="s">
        <v>165</v>
      </c>
      <c r="H28" s="469" t="s">
        <v>40</v>
      </c>
      <c r="J28" s="467"/>
      <c r="K28" s="468" t="s">
        <v>165</v>
      </c>
      <c r="L28" s="469" t="s">
        <v>40</v>
      </c>
    </row>
    <row r="29" spans="1:12" ht="23.1" customHeight="1">
      <c r="A29" s="313" t="s">
        <v>236</v>
      </c>
      <c r="B29" s="335"/>
      <c r="C29" s="203"/>
      <c r="D29" s="219"/>
      <c r="F29" s="470" t="s">
        <v>240</v>
      </c>
      <c r="G29" s="471">
        <v>750</v>
      </c>
      <c r="H29" s="472">
        <v>0</v>
      </c>
      <c r="J29" s="470" t="s">
        <v>283</v>
      </c>
      <c r="K29" s="527">
        <v>650</v>
      </c>
      <c r="L29" s="472">
        <v>0</v>
      </c>
    </row>
    <row r="30" spans="1:12" ht="23.1" customHeight="1" thickBot="1">
      <c r="A30" s="144" t="s">
        <v>282</v>
      </c>
      <c r="B30" s="526"/>
      <c r="C30" s="519"/>
      <c r="F30" s="470"/>
      <c r="G30" s="471"/>
      <c r="H30" s="472"/>
      <c r="J30" s="470"/>
      <c r="K30" s="471"/>
      <c r="L30" s="472"/>
    </row>
    <row r="31" spans="1:12" ht="23.1" customHeight="1" thickBot="1">
      <c r="A31" s="529" t="s">
        <v>285</v>
      </c>
      <c r="B31" s="530">
        <f>IF(B29="",0,IF(B29&lt;=G32,H32,IF(B29&gt;G29,0,H32+(H29-H32)/(G29-G32)*(B29-G32))))</f>
        <v>0</v>
      </c>
      <c r="C31" s="203"/>
      <c r="F31" s="470"/>
      <c r="G31" s="471"/>
      <c r="H31" s="472"/>
      <c r="J31" s="470" t="s">
        <v>284</v>
      </c>
      <c r="K31" s="471">
        <v>50</v>
      </c>
      <c r="L31" s="528">
        <v>95</v>
      </c>
    </row>
    <row r="32" spans="1:12" ht="23.1" customHeight="1" thickBot="1">
      <c r="A32" s="531" t="s">
        <v>286</v>
      </c>
      <c r="B32" s="532">
        <f>IF(B30="",0,IF(B30&lt;=K31,L31,IF(B30&gt;K29,0,L31+(L29-L31)/(K29-K31)*(B30-K31))))</f>
        <v>0</v>
      </c>
      <c r="C32" s="333"/>
      <c r="F32" s="470" t="s">
        <v>241</v>
      </c>
      <c r="G32" s="471">
        <v>150</v>
      </c>
      <c r="H32" s="472">
        <v>250</v>
      </c>
    </row>
    <row r="33" spans="1:8" ht="16.5" thickBot="1">
      <c r="A33" s="531" t="s">
        <v>287</v>
      </c>
      <c r="B33" s="533">
        <f>B32+B31</f>
        <v>0</v>
      </c>
    </row>
    <row r="34" spans="1:8" ht="13.5" thickBot="1"/>
    <row r="35" spans="1:8" ht="15.75" thickBot="1">
      <c r="F35" s="987" t="s">
        <v>28</v>
      </c>
      <c r="G35" s="988"/>
      <c r="H35" s="989"/>
    </row>
    <row r="36" spans="1:8" ht="13.5" thickBot="1"/>
    <row r="37" spans="1:8">
      <c r="F37" s="467"/>
      <c r="G37" s="468" t="s">
        <v>165</v>
      </c>
      <c r="H37" s="469" t="s">
        <v>40</v>
      </c>
    </row>
    <row r="38" spans="1:8" ht="15.75">
      <c r="F38" s="470" t="s">
        <v>283</v>
      </c>
      <c r="G38" s="527">
        <v>650</v>
      </c>
      <c r="H38" s="472">
        <v>0</v>
      </c>
    </row>
    <row r="39" spans="1:8" ht="15.75">
      <c r="F39" s="470"/>
      <c r="G39" s="471"/>
      <c r="H39" s="472"/>
    </row>
    <row r="40" spans="1:8" ht="15.75">
      <c r="F40" s="470" t="s">
        <v>284</v>
      </c>
      <c r="G40" s="471">
        <v>50</v>
      </c>
      <c r="H40" s="528">
        <v>55</v>
      </c>
    </row>
  </sheetData>
  <sheetProtection algorithmName="SHA-512" hashValue="iO5rDm/SbdsJE4EcgQn2s8rO+ay6dkZYWbzFVOvB5q8Ygscp6MaQgZV71BUUROmGJg1DQDlhjMY0TJyrT15IRQ==" saltValue="GhrqwJH4M3TnyXbB8ac4hg==" spinCount="100000" sheet="1" selectLockedCells="1"/>
  <mergeCells count="4">
    <mergeCell ref="A1:B1"/>
    <mergeCell ref="F1:H1"/>
    <mergeCell ref="F35:H35"/>
    <mergeCell ref="J1:L1"/>
  </mergeCells>
  <phoneticPr fontId="45" type="noConversion"/>
  <printOptions horizontalCentered="1"/>
  <pageMargins left="0.59055118110236227" right="0.59055118110236227" top="0.59055118110236227" bottom="0.59055118110236227" header="0.31496062992125984" footer="0.31496062992125984"/>
  <pageSetup paperSize="9" scale="8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pageSetUpPr fitToPage="1"/>
  </sheetPr>
  <dimension ref="A1:H25"/>
  <sheetViews>
    <sheetView showGridLines="0" zoomScale="64" zoomScaleNormal="100" workbookViewId="0">
      <selection activeCell="B5" sqref="B5"/>
    </sheetView>
  </sheetViews>
  <sheetFormatPr baseColWidth="10" defaultColWidth="11.42578125" defaultRowHeight="12.75"/>
  <cols>
    <col min="1" max="1" width="55.7109375" style="150" customWidth="1"/>
    <col min="2" max="2" width="15.7109375" style="239" customWidth="1"/>
    <col min="3" max="3" width="30.7109375" style="191" customWidth="1"/>
    <col min="4" max="4" width="2.7109375" style="165" customWidth="1"/>
    <col min="5" max="5" width="11.42578125" style="165"/>
    <col min="6" max="6" width="17.7109375" style="165" hidden="1" customWidth="1"/>
    <col min="7" max="8" width="11.42578125" style="165" hidden="1" customWidth="1"/>
    <col min="9" max="9" width="11.42578125" style="165"/>
    <col min="10" max="10" width="11.42578125" style="165" customWidth="1"/>
    <col min="11" max="16384" width="11.42578125" style="165"/>
  </cols>
  <sheetData>
    <row r="1" spans="1:8" ht="23.1" customHeight="1" thickBot="1">
      <c r="A1" s="874" t="s">
        <v>410</v>
      </c>
      <c r="B1" s="874"/>
      <c r="C1" s="175"/>
      <c r="F1" s="987" t="s">
        <v>28</v>
      </c>
      <c r="G1" s="988"/>
      <c r="H1" s="989"/>
    </row>
    <row r="2" spans="1:8" ht="15" customHeight="1">
      <c r="A2" s="170"/>
      <c r="B2" s="176"/>
    </row>
    <row r="3" spans="1:8" ht="23.1" customHeight="1" thickBot="1">
      <c r="A3" s="465" t="s">
        <v>180</v>
      </c>
      <c r="B3" s="462"/>
    </row>
    <row r="4" spans="1:8" s="144" customFormat="1" ht="24.95" customHeight="1">
      <c r="A4" s="317" t="s">
        <v>62</v>
      </c>
      <c r="B4" s="311" t="s">
        <v>40</v>
      </c>
      <c r="C4" s="324" t="s">
        <v>24</v>
      </c>
      <c r="D4" s="220"/>
      <c r="F4" s="467"/>
      <c r="G4" s="468" t="s">
        <v>165</v>
      </c>
      <c r="H4" s="469" t="s">
        <v>40</v>
      </c>
    </row>
    <row r="5" spans="1:8" s="144" customFormat="1" ht="23.1" customHeight="1">
      <c r="A5" s="318" t="s">
        <v>239</v>
      </c>
      <c r="B5" s="325"/>
      <c r="C5" s="203"/>
      <c r="F5" s="470" t="s">
        <v>242</v>
      </c>
      <c r="G5" s="471">
        <v>20</v>
      </c>
      <c r="H5" s="472">
        <v>0</v>
      </c>
    </row>
    <row r="6" spans="1:8" s="140" customFormat="1" ht="23.1" customHeight="1" thickBot="1">
      <c r="A6" s="319" t="s">
        <v>237</v>
      </c>
      <c r="B6" s="315">
        <f>IF(B5="",0,IF(B5&lt;=G6,H6,IF(B5&gt;G5,0,H5+(H6/(G6-G5)*(B5-G5)))))</f>
        <v>0</v>
      </c>
      <c r="F6" s="470" t="s">
        <v>243</v>
      </c>
      <c r="G6" s="471">
        <v>8</v>
      </c>
      <c r="H6" s="472">
        <v>55</v>
      </c>
    </row>
    <row r="7" spans="1:8" ht="15" customHeight="1">
      <c r="A7" s="326"/>
      <c r="B7" s="327"/>
      <c r="F7" s="144"/>
      <c r="G7" s="144"/>
      <c r="H7" s="144"/>
    </row>
    <row r="8" spans="1:8" ht="15" customHeight="1"/>
    <row r="9" spans="1:8" ht="23.1" customHeight="1" thickBot="1">
      <c r="A9" s="465" t="s">
        <v>267</v>
      </c>
      <c r="B9" s="466"/>
      <c r="C9" s="286"/>
    </row>
    <row r="10" spans="1:8" ht="24.95" customHeight="1">
      <c r="A10" s="320" t="s">
        <v>62</v>
      </c>
      <c r="B10" s="316" t="s">
        <v>40</v>
      </c>
      <c r="C10" s="324" t="s">
        <v>24</v>
      </c>
      <c r="D10" s="219"/>
      <c r="F10" s="467"/>
      <c r="G10" s="468" t="s">
        <v>165</v>
      </c>
      <c r="H10" s="469" t="s">
        <v>40</v>
      </c>
    </row>
    <row r="11" spans="1:8" ht="23.1" customHeight="1">
      <c r="A11" s="321" t="s">
        <v>239</v>
      </c>
      <c r="B11" s="325"/>
      <c r="C11" s="328"/>
      <c r="F11" s="470" t="s">
        <v>242</v>
      </c>
      <c r="G11" s="471">
        <v>20</v>
      </c>
      <c r="H11" s="472">
        <v>0</v>
      </c>
    </row>
    <row r="12" spans="1:8" ht="23.1" customHeight="1" thickBot="1">
      <c r="A12" s="322" t="s">
        <v>31</v>
      </c>
      <c r="B12" s="315">
        <f>IF(B11="",0,IF(B11&lt;=G12,H12,IF(B11&gt;G11,0,H11+(H12/(G12-G11)*(B11-G11)))))</f>
        <v>0</v>
      </c>
      <c r="C12" s="329"/>
      <c r="F12" s="470" t="s">
        <v>243</v>
      </c>
      <c r="G12" s="471">
        <v>8</v>
      </c>
      <c r="H12" s="472">
        <v>75</v>
      </c>
    </row>
    <row r="13" spans="1:8" ht="15" customHeight="1">
      <c r="A13" s="330"/>
      <c r="C13" s="165"/>
    </row>
    <row r="14" spans="1:8" ht="23.1" customHeight="1">
      <c r="A14" s="331"/>
      <c r="C14" s="165"/>
    </row>
    <row r="15" spans="1:8" ht="23.1" customHeight="1" thickBot="1">
      <c r="A15" s="465" t="s">
        <v>268</v>
      </c>
      <c r="B15" s="466"/>
      <c r="C15" s="332"/>
    </row>
    <row r="16" spans="1:8" ht="24.95" customHeight="1">
      <c r="A16" s="320" t="s">
        <v>62</v>
      </c>
      <c r="B16" s="316" t="s">
        <v>40</v>
      </c>
      <c r="C16" s="324" t="s">
        <v>24</v>
      </c>
      <c r="D16" s="219"/>
      <c r="F16" s="467"/>
      <c r="G16" s="468" t="s">
        <v>165</v>
      </c>
      <c r="H16" s="469" t="s">
        <v>40</v>
      </c>
    </row>
    <row r="17" spans="1:8" ht="23.1" customHeight="1">
      <c r="A17" s="321" t="s">
        <v>239</v>
      </c>
      <c r="B17" s="325"/>
      <c r="C17" s="328"/>
      <c r="F17" s="470" t="s">
        <v>242</v>
      </c>
      <c r="G17" s="471">
        <v>20</v>
      </c>
      <c r="H17" s="472">
        <v>0</v>
      </c>
    </row>
    <row r="18" spans="1:8" ht="23.1" customHeight="1" thickBot="1">
      <c r="A18" s="322" t="s">
        <v>31</v>
      </c>
      <c r="B18" s="315">
        <f>IF(B17="",0,IF(B17&lt;=G18,H18,IF(B17&gt;G17,0,H17+(H18/(G18-G17)*(B17-G17)))))</f>
        <v>0</v>
      </c>
      <c r="C18" s="333"/>
      <c r="F18" s="470" t="s">
        <v>243</v>
      </c>
      <c r="G18" s="471">
        <v>8</v>
      </c>
      <c r="H18" s="472">
        <v>130</v>
      </c>
    </row>
    <row r="19" spans="1:8" ht="23.1" customHeight="1">
      <c r="A19" s="326"/>
    </row>
    <row r="20" spans="1:8" ht="23.1" customHeight="1"/>
    <row r="21" spans="1:8" ht="23.1" customHeight="1" thickBot="1">
      <c r="A21" s="465" t="s">
        <v>238</v>
      </c>
      <c r="B21" s="466"/>
      <c r="C21" s="332"/>
    </row>
    <row r="22" spans="1:8" ht="24.95" customHeight="1">
      <c r="A22" s="320" t="s">
        <v>62</v>
      </c>
      <c r="B22" s="311" t="s">
        <v>40</v>
      </c>
      <c r="C22" s="324" t="s">
        <v>24</v>
      </c>
      <c r="D22" s="219"/>
      <c r="F22" s="467"/>
      <c r="G22" s="468" t="s">
        <v>165</v>
      </c>
      <c r="H22" s="469" t="s">
        <v>40</v>
      </c>
    </row>
    <row r="23" spans="1:8" ht="23.1" customHeight="1">
      <c r="A23" s="321" t="s">
        <v>239</v>
      </c>
      <c r="B23" s="325"/>
      <c r="C23" s="203"/>
      <c r="D23" s="219"/>
      <c r="F23" s="470" t="s">
        <v>242</v>
      </c>
      <c r="G23" s="471">
        <v>20</v>
      </c>
      <c r="H23" s="472">
        <v>0</v>
      </c>
    </row>
    <row r="24" spans="1:8" ht="23.1" customHeight="1" thickBot="1">
      <c r="A24" s="323" t="s">
        <v>31</v>
      </c>
      <c r="B24" s="315">
        <f>IF(B23="",0,IF(B23&lt;=G24,H24,IF(B23&gt;G23,0,H23+(H24/(G24-G23)*(B23-G23)))))</f>
        <v>0</v>
      </c>
      <c r="C24" s="333"/>
      <c r="F24" s="470" t="s">
        <v>243</v>
      </c>
      <c r="G24" s="471">
        <v>8</v>
      </c>
      <c r="H24" s="472">
        <v>120</v>
      </c>
    </row>
    <row r="25" spans="1:8">
      <c r="A25" s="326"/>
    </row>
  </sheetData>
  <sheetProtection algorithmName="SHA-512" hashValue="t0i+hkKzSrI1jJrMppjH3B1i1psJrxEsNVxYE53kCEwaywX1nKnYh9cDXFGQsSssXDPF8XBHTxix1K8IcWYTng==" saltValue="Xg9IJvPsjAkgAs4+lL0nOg==" spinCount="100000" sheet="1" selectLockedCells="1"/>
  <mergeCells count="2">
    <mergeCell ref="A1:B1"/>
    <mergeCell ref="F1:H1"/>
  </mergeCells>
  <printOptions horizontalCentered="1"/>
  <pageMargins left="0.59055118110236227" right="0.59055118110236227" top="0.59055118110236227" bottom="0.59055118110236227" header="0.31496062992125984" footer="0.31496062992125984"/>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outlinePr summaryRight="0"/>
    <pageSetUpPr fitToPage="1"/>
  </sheetPr>
  <dimension ref="A1:AZ45"/>
  <sheetViews>
    <sheetView showGridLines="0" tabSelected="1" showRuler="0" showWhiteSpace="0" topLeftCell="A4" zoomScale="70" zoomScaleNormal="70" zoomScaleSheetLayoutView="100" workbookViewId="0">
      <selection activeCell="E9" sqref="E9"/>
    </sheetView>
  </sheetViews>
  <sheetFormatPr baseColWidth="10" defaultColWidth="11.42578125" defaultRowHeight="12.75" outlineLevelCol="1"/>
  <cols>
    <col min="1" max="1" width="1.7109375" style="14" customWidth="1"/>
    <col min="2" max="2" width="31.5703125" style="23" customWidth="1"/>
    <col min="3" max="3" width="12.85546875" style="24" customWidth="1"/>
    <col min="4" max="4" width="5.28515625" style="27" customWidth="1"/>
    <col min="5" max="5" width="67.28515625" style="25" customWidth="1"/>
    <col min="6" max="6" width="16.85546875" style="23" customWidth="1"/>
    <col min="7" max="7" width="24.140625" style="56" customWidth="1"/>
    <col min="8" max="8" width="6.28515625" style="56" customWidth="1"/>
    <col min="9" max="9" width="9.42578125" style="25" hidden="1" customWidth="1"/>
    <col min="10" max="10" width="2.85546875" style="25" hidden="1" customWidth="1"/>
    <col min="11" max="11" width="15" style="25" customWidth="1"/>
    <col min="12" max="12" width="15.5703125" style="25" customWidth="1"/>
    <col min="13" max="13" width="2.85546875" style="25" customWidth="1"/>
    <col min="14" max="15" width="15.7109375" style="25" customWidth="1"/>
    <col min="16" max="16" width="2.85546875" style="25" customWidth="1"/>
    <col min="17" max="18" width="15.7109375" style="25" customWidth="1"/>
    <col min="19" max="19" width="2.85546875" style="25" customWidth="1"/>
    <col min="20" max="21" width="15.7109375" style="25" customWidth="1"/>
    <col min="22" max="22" width="2.85546875" style="25" customWidth="1"/>
    <col min="23" max="23" width="2.85546875" style="25" customWidth="1" collapsed="1"/>
    <col min="24" max="24" width="3.7109375" style="25" hidden="1" customWidth="1" outlineLevel="1"/>
    <col min="25" max="25" width="11.28515625" style="25" hidden="1" customWidth="1" outlineLevel="1"/>
    <col min="26" max="26" width="46.5703125" style="14" hidden="1" customWidth="1" outlineLevel="1"/>
    <col min="27" max="27" width="3.7109375" style="14" hidden="1" customWidth="1" outlineLevel="1"/>
    <col min="28" max="28" width="3.7109375" style="25" customWidth="1" collapsed="1"/>
    <col min="29" max="29" width="3.7109375" style="25" hidden="1" customWidth="1" outlineLevel="1"/>
    <col min="30" max="30" width="11.28515625" style="25" hidden="1" customWidth="1" outlineLevel="1"/>
    <col min="31" max="31" width="46.5703125" style="14" hidden="1" customWidth="1" outlineLevel="1"/>
    <col min="32" max="32" width="3.7109375" style="14" hidden="1" customWidth="1" outlineLevel="1"/>
    <col min="33" max="33" width="3.7109375" style="25" customWidth="1" collapsed="1"/>
    <col min="34" max="34" width="3.7109375" style="25" hidden="1" customWidth="1" outlineLevel="1"/>
    <col min="35" max="35" width="11.28515625" style="25" hidden="1" customWidth="1" outlineLevel="1"/>
    <col min="36" max="36" width="46.5703125" style="14" hidden="1" customWidth="1" outlineLevel="1"/>
    <col min="37" max="37" width="3.7109375" style="14" hidden="1" customWidth="1" outlineLevel="1"/>
    <col min="38" max="38" width="3.7109375" style="14" customWidth="1" collapsed="1"/>
    <col min="39" max="39" width="3.7109375" style="25" hidden="1" customWidth="1" outlineLevel="1"/>
    <col min="40" max="40" width="11.28515625" style="25" hidden="1" customWidth="1" outlineLevel="1"/>
    <col min="41" max="41" width="46.5703125" style="14" hidden="1" customWidth="1" outlineLevel="1"/>
    <col min="42" max="42" width="3.7109375" style="14" hidden="1" customWidth="1" outlineLevel="1"/>
    <col min="43" max="43" width="3.7109375" style="14" customWidth="1" collapsed="1"/>
    <col min="44" max="44" width="3.7109375" style="25" hidden="1" customWidth="1" outlineLevel="1"/>
    <col min="45" max="45" width="11.28515625" style="25" hidden="1" customWidth="1" outlineLevel="1"/>
    <col min="46" max="46" width="46.5703125" style="14" hidden="1" customWidth="1" outlineLevel="1"/>
    <col min="47" max="47" width="3.7109375" style="14" hidden="1" customWidth="1" outlineLevel="1"/>
    <col min="48" max="48" width="3.7109375" style="14" customWidth="1" collapsed="1"/>
    <col min="49" max="49" width="3.7109375" style="25" hidden="1" customWidth="1" outlineLevel="1"/>
    <col min="50" max="50" width="11.28515625" style="25" hidden="1" customWidth="1" outlineLevel="1"/>
    <col min="51" max="51" width="46.5703125" style="14" hidden="1" customWidth="1" outlineLevel="1"/>
    <col min="52" max="52" width="3.7109375" style="14" hidden="1" customWidth="1" outlineLevel="1"/>
    <col min="53" max="53" width="3.7109375" style="14" customWidth="1"/>
    <col min="54" max="16384" width="11.42578125" style="14"/>
  </cols>
  <sheetData>
    <row r="1" spans="1:51" ht="78" customHeight="1" thickBot="1">
      <c r="A1" s="16"/>
      <c r="B1" s="782" t="s">
        <v>291</v>
      </c>
      <c r="C1" s="783"/>
      <c r="D1" s="783"/>
      <c r="E1" s="783"/>
      <c r="F1" s="783"/>
      <c r="G1" s="783"/>
      <c r="H1" s="548"/>
      <c r="I1" s="59"/>
      <c r="J1" s="59"/>
      <c r="K1" s="59"/>
      <c r="L1" s="59"/>
      <c r="M1" s="59"/>
      <c r="N1" s="59"/>
      <c r="O1" s="59"/>
      <c r="P1" s="59"/>
      <c r="Q1" s="59"/>
      <c r="R1" s="59"/>
      <c r="S1" s="59"/>
      <c r="T1" s="59"/>
      <c r="U1" s="59"/>
      <c r="V1" s="59"/>
      <c r="W1" s="26">
        <f>Z9</f>
        <v>0</v>
      </c>
      <c r="AB1" s="26">
        <f>AE9</f>
        <v>0</v>
      </c>
      <c r="AG1" s="26">
        <f>AJ9</f>
        <v>0</v>
      </c>
      <c r="AL1" s="26">
        <f>AO9</f>
        <v>0</v>
      </c>
      <c r="AQ1" s="26">
        <f>AT9</f>
        <v>0</v>
      </c>
      <c r="AV1" s="26">
        <f>AY9</f>
        <v>0</v>
      </c>
    </row>
    <row r="2" spans="1:51" ht="38.25" customHeight="1" thickBot="1">
      <c r="A2" s="16"/>
      <c r="B2" s="60" t="s">
        <v>16</v>
      </c>
      <c r="C2" s="794" t="s">
        <v>411</v>
      </c>
      <c r="D2" s="795"/>
      <c r="E2" s="795"/>
      <c r="F2" s="795"/>
      <c r="G2" s="796"/>
      <c r="H2" s="658"/>
      <c r="I2" s="59"/>
      <c r="J2" s="59"/>
      <c r="K2" s="59"/>
      <c r="L2" s="59"/>
      <c r="M2" s="59"/>
      <c r="N2" s="59"/>
      <c r="O2" s="59"/>
      <c r="P2" s="59"/>
      <c r="Q2" s="59"/>
      <c r="R2" s="59"/>
      <c r="S2" s="59"/>
      <c r="T2" s="59"/>
      <c r="U2" s="59"/>
      <c r="V2" s="59"/>
      <c r="W2" s="808" t="s">
        <v>17</v>
      </c>
      <c r="AB2" s="808" t="s">
        <v>18</v>
      </c>
      <c r="AG2" s="808" t="s">
        <v>19</v>
      </c>
      <c r="AL2" s="808" t="s">
        <v>20</v>
      </c>
      <c r="AQ2" s="808" t="s">
        <v>21</v>
      </c>
      <c r="AV2" s="808" t="s">
        <v>22</v>
      </c>
    </row>
    <row r="3" spans="1:51" ht="49.5" customHeight="1">
      <c r="A3" s="16"/>
      <c r="B3" s="100" t="s">
        <v>23</v>
      </c>
      <c r="C3" s="88"/>
      <c r="D3" s="88"/>
      <c r="E3" s="88"/>
      <c r="F3" s="88"/>
      <c r="G3" s="88"/>
      <c r="H3" s="88"/>
      <c r="I3" s="59"/>
      <c r="J3" s="59"/>
      <c r="K3" s="59"/>
      <c r="L3" s="59"/>
      <c r="M3" s="59"/>
      <c r="N3" s="59"/>
      <c r="O3" s="59"/>
      <c r="P3" s="59"/>
      <c r="Q3" s="59"/>
      <c r="R3" s="59"/>
      <c r="S3" s="59"/>
      <c r="T3" s="59"/>
      <c r="U3" s="59"/>
      <c r="V3" s="59"/>
      <c r="W3" s="808"/>
      <c r="AB3" s="808"/>
      <c r="AG3" s="808"/>
      <c r="AL3" s="808"/>
      <c r="AQ3" s="808"/>
      <c r="AV3" s="808"/>
    </row>
    <row r="4" spans="1:51" ht="30" customHeight="1" thickBot="1">
      <c r="A4" s="16"/>
      <c r="B4" s="100"/>
      <c r="C4" s="458"/>
      <c r="D4" s="88"/>
      <c r="E4" s="134" t="s">
        <v>24</v>
      </c>
      <c r="F4" s="209"/>
      <c r="G4" s="88"/>
      <c r="H4" s="88"/>
      <c r="I4" s="59"/>
      <c r="J4" s="59"/>
      <c r="K4" s="59"/>
      <c r="L4" s="59"/>
      <c r="M4" s="59"/>
      <c r="N4" s="59"/>
      <c r="O4" s="59"/>
      <c r="P4" s="59"/>
      <c r="Q4" s="59"/>
      <c r="R4" s="59"/>
      <c r="S4" s="59"/>
      <c r="T4" s="59"/>
      <c r="U4" s="59"/>
      <c r="V4" s="59"/>
      <c r="W4" s="808"/>
      <c r="AB4" s="808"/>
      <c r="AG4" s="808"/>
      <c r="AL4" s="808"/>
      <c r="AQ4" s="808"/>
      <c r="AV4" s="808"/>
    </row>
    <row r="5" spans="1:51" ht="30" customHeight="1">
      <c r="A5" s="16"/>
      <c r="B5" s="206" t="s">
        <v>25</v>
      </c>
      <c r="C5" s="255">
        <v>1</v>
      </c>
      <c r="D5" s="236" t="s">
        <v>26</v>
      </c>
      <c r="E5" s="203"/>
      <c r="F5" s="210"/>
      <c r="G5" s="211" t="s">
        <v>27</v>
      </c>
      <c r="H5" s="282"/>
      <c r="I5" s="59"/>
      <c r="J5" s="59"/>
      <c r="K5" s="59"/>
      <c r="L5" s="59"/>
      <c r="M5" s="59"/>
      <c r="N5" s="59"/>
      <c r="O5" s="59"/>
      <c r="P5" s="59"/>
      <c r="Q5" s="59"/>
      <c r="R5" s="59"/>
      <c r="S5" s="59"/>
      <c r="T5" s="59"/>
      <c r="U5" s="59"/>
      <c r="V5" s="59"/>
      <c r="W5" s="808"/>
      <c r="AB5" s="808"/>
      <c r="AG5" s="808"/>
      <c r="AL5" s="808"/>
      <c r="AQ5" s="808"/>
      <c r="AV5" s="808"/>
    </row>
    <row r="6" spans="1:51" ht="30" customHeight="1">
      <c r="A6" s="205"/>
      <c r="B6" s="207" t="s">
        <v>262</v>
      </c>
      <c r="C6" s="254">
        <v>1</v>
      </c>
      <c r="D6" s="201" t="s">
        <v>26</v>
      </c>
      <c r="E6" s="197"/>
      <c r="F6" s="214"/>
      <c r="G6" s="213" t="s">
        <v>28</v>
      </c>
      <c r="H6" s="282"/>
      <c r="I6" s="59"/>
      <c r="J6" s="212"/>
      <c r="K6" s="59"/>
      <c r="L6" s="59"/>
      <c r="M6" s="59"/>
      <c r="N6" s="59"/>
      <c r="O6" s="59"/>
      <c r="P6" s="59"/>
      <c r="Q6" s="59"/>
      <c r="R6" s="59"/>
      <c r="S6" s="59"/>
      <c r="T6" s="59"/>
      <c r="U6" s="59"/>
      <c r="V6" s="59"/>
      <c r="W6" s="808"/>
      <c r="AB6" s="808"/>
      <c r="AG6" s="808"/>
      <c r="AL6" s="808"/>
      <c r="AQ6" s="808"/>
      <c r="AV6" s="808"/>
    </row>
    <row r="7" spans="1:51" ht="30" customHeight="1">
      <c r="A7" s="205"/>
      <c r="B7" s="207" t="s">
        <v>263</v>
      </c>
      <c r="C7" s="253">
        <v>1</v>
      </c>
      <c r="D7" s="202" t="s">
        <v>26</v>
      </c>
      <c r="E7" s="203"/>
      <c r="F7" s="88"/>
      <c r="G7" s="88"/>
      <c r="H7" s="88"/>
      <c r="I7" s="59"/>
      <c r="J7" s="59"/>
      <c r="K7" s="59"/>
      <c r="L7" s="59"/>
      <c r="M7" s="59"/>
      <c r="N7" s="59"/>
      <c r="O7" s="59"/>
      <c r="P7" s="59"/>
      <c r="Q7" s="59"/>
      <c r="R7" s="59"/>
      <c r="S7" s="59"/>
      <c r="T7" s="59"/>
      <c r="U7" s="59"/>
      <c r="V7" s="59"/>
      <c r="W7" s="808"/>
      <c r="AB7" s="808"/>
      <c r="AG7" s="808"/>
      <c r="AL7" s="808"/>
      <c r="AQ7" s="808"/>
      <c r="AV7" s="808"/>
    </row>
    <row r="8" spans="1:51" ht="30" customHeight="1" thickBot="1">
      <c r="A8" s="16"/>
      <c r="B8" s="207" t="s">
        <v>29</v>
      </c>
      <c r="C8" s="252">
        <v>1</v>
      </c>
      <c r="D8" s="202" t="s">
        <v>26</v>
      </c>
      <c r="E8" s="203"/>
      <c r="F8" s="798" t="s">
        <v>30</v>
      </c>
      <c r="G8" s="799"/>
      <c r="H8" s="659"/>
      <c r="I8" s="59"/>
      <c r="J8" s="59"/>
      <c r="K8" s="59"/>
      <c r="L8" s="59"/>
      <c r="M8" s="59"/>
      <c r="N8" s="59"/>
      <c r="O8" s="59"/>
      <c r="P8" s="59"/>
      <c r="Q8" s="59"/>
      <c r="R8" s="59"/>
      <c r="S8" s="59"/>
      <c r="T8" s="59"/>
      <c r="U8" s="59"/>
      <c r="V8" s="59"/>
      <c r="W8" s="809"/>
      <c r="AB8" s="811"/>
      <c r="AG8" s="811"/>
      <c r="AL8" s="810"/>
      <c r="AQ8" s="810"/>
      <c r="AV8" s="810"/>
    </row>
    <row r="9" spans="1:51" ht="30" customHeight="1" thickBot="1">
      <c r="A9" s="16"/>
      <c r="B9" s="208" t="s">
        <v>31</v>
      </c>
      <c r="C9" s="251">
        <f>SUM(C5:C8)</f>
        <v>4</v>
      </c>
      <c r="D9" s="235" t="s">
        <v>26</v>
      </c>
      <c r="E9" s="200"/>
      <c r="F9" s="792">
        <f>IF((G13+G23+G31+G35)&lt;1000,(G13+G23+G31+G35),1000)</f>
        <v>0</v>
      </c>
      <c r="G9" s="793">
        <f>IF(SUM(G11:G16)&lt;225,SUM(G11:G16),225)</f>
        <v>0</v>
      </c>
      <c r="H9" s="660"/>
      <c r="I9" s="59"/>
      <c r="J9" s="59"/>
      <c r="K9" s="749" t="s">
        <v>32</v>
      </c>
      <c r="L9" s="750"/>
      <c r="M9" s="750"/>
      <c r="N9" s="750"/>
      <c r="O9" s="750"/>
      <c r="P9" s="750"/>
      <c r="Q9" s="750"/>
      <c r="R9" s="750"/>
      <c r="S9" s="750"/>
      <c r="T9" s="750"/>
      <c r="U9" s="751"/>
      <c r="V9" s="59"/>
      <c r="W9" s="59"/>
      <c r="Y9" s="28" t="s">
        <v>33</v>
      </c>
      <c r="Z9" s="29"/>
      <c r="AA9" s="30"/>
      <c r="AD9" s="28" t="s">
        <v>33</v>
      </c>
      <c r="AE9" s="29"/>
      <c r="AF9" s="30"/>
      <c r="AI9" s="28" t="s">
        <v>33</v>
      </c>
      <c r="AJ9" s="29"/>
      <c r="AK9" s="30"/>
      <c r="AN9" s="28" t="s">
        <v>33</v>
      </c>
      <c r="AO9" s="29"/>
      <c r="AP9" s="30"/>
      <c r="AS9" s="28" t="s">
        <v>33</v>
      </c>
      <c r="AT9" s="29"/>
      <c r="AU9" s="30"/>
      <c r="AX9" s="28" t="s">
        <v>33</v>
      </c>
      <c r="AY9" s="29"/>
    </row>
    <row r="10" spans="1:51" s="98" customFormat="1" ht="30" customHeight="1">
      <c r="A10" s="91"/>
      <c r="B10" s="234"/>
      <c r="C10" s="99"/>
      <c r="D10" s="204"/>
      <c r="E10" s="92"/>
      <c r="F10" s="797"/>
      <c r="G10" s="797"/>
      <c r="H10" s="661"/>
      <c r="I10" s="93"/>
      <c r="J10" s="93"/>
      <c r="K10" s="752" t="s">
        <v>34</v>
      </c>
      <c r="L10" s="753"/>
      <c r="M10" s="93"/>
      <c r="N10" s="756" t="s">
        <v>264</v>
      </c>
      <c r="O10" s="757"/>
      <c r="P10" s="215"/>
      <c r="Q10" s="756" t="s">
        <v>265</v>
      </c>
      <c r="R10" s="760"/>
      <c r="S10" s="216"/>
      <c r="T10" s="763" t="s">
        <v>35</v>
      </c>
      <c r="U10" s="764"/>
      <c r="V10" s="93"/>
      <c r="W10" s="93"/>
      <c r="X10" s="94"/>
      <c r="Y10" s="95"/>
      <c r="Z10" s="96"/>
      <c r="AA10" s="97"/>
      <c r="AB10" s="94"/>
      <c r="AC10" s="94"/>
      <c r="AD10" s="95"/>
      <c r="AE10" s="96"/>
      <c r="AF10" s="97"/>
      <c r="AG10" s="94"/>
      <c r="AH10" s="94"/>
      <c r="AI10" s="95"/>
      <c r="AJ10" s="96"/>
      <c r="AK10" s="97"/>
      <c r="AM10" s="94"/>
      <c r="AN10" s="95"/>
      <c r="AO10" s="96"/>
      <c r="AP10" s="97"/>
      <c r="AR10" s="94"/>
      <c r="AS10" s="95"/>
      <c r="AT10" s="96"/>
      <c r="AU10" s="97"/>
      <c r="AW10" s="94"/>
      <c r="AX10" s="95"/>
      <c r="AY10" s="96"/>
    </row>
    <row r="11" spans="1:51" ht="31.5" customHeight="1">
      <c r="A11" s="16"/>
      <c r="B11" s="784" t="s">
        <v>36</v>
      </c>
      <c r="C11" s="785"/>
      <c r="D11" s="786"/>
      <c r="E11" s="790" t="s">
        <v>37</v>
      </c>
      <c r="F11" s="89" t="s">
        <v>38</v>
      </c>
      <c r="G11" s="89" t="s">
        <v>39</v>
      </c>
      <c r="H11" s="549"/>
      <c r="I11" s="59"/>
      <c r="J11" s="59"/>
      <c r="K11" s="754"/>
      <c r="L11" s="755"/>
      <c r="M11" s="59"/>
      <c r="N11" s="758"/>
      <c r="O11" s="759"/>
      <c r="P11" s="212"/>
      <c r="Q11" s="761"/>
      <c r="R11" s="762"/>
      <c r="S11" s="217"/>
      <c r="T11" s="765"/>
      <c r="U11" s="766"/>
      <c r="V11" s="59"/>
      <c r="W11" s="59"/>
      <c r="X11" s="31"/>
      <c r="Y11" s="32" t="s">
        <v>40</v>
      </c>
      <c r="Z11" s="1" t="s">
        <v>24</v>
      </c>
      <c r="AA11" s="11"/>
      <c r="AC11" s="31"/>
      <c r="AD11" s="32" t="s">
        <v>40</v>
      </c>
      <c r="AE11" s="1" t="s">
        <v>24</v>
      </c>
      <c r="AF11" s="11"/>
      <c r="AH11" s="31"/>
      <c r="AI11" s="32" t="s">
        <v>40</v>
      </c>
      <c r="AJ11" s="1" t="s">
        <v>24</v>
      </c>
      <c r="AK11" s="11"/>
      <c r="AM11" s="31"/>
      <c r="AN11" s="32" t="s">
        <v>40</v>
      </c>
      <c r="AO11" s="1" t="s">
        <v>24</v>
      </c>
      <c r="AP11" s="11"/>
      <c r="AR11" s="31"/>
      <c r="AS11" s="32" t="s">
        <v>40</v>
      </c>
      <c r="AT11" s="1" t="s">
        <v>24</v>
      </c>
      <c r="AU11" s="11"/>
      <c r="AW11" s="31"/>
      <c r="AX11" s="32" t="s">
        <v>40</v>
      </c>
      <c r="AY11" s="1" t="s">
        <v>24</v>
      </c>
    </row>
    <row r="12" spans="1:51" ht="4.5" customHeight="1" thickBot="1">
      <c r="A12" s="16"/>
      <c r="B12" s="787"/>
      <c r="C12" s="788"/>
      <c r="D12" s="789"/>
      <c r="E12" s="791"/>
      <c r="F12" s="61"/>
      <c r="G12" s="89"/>
      <c r="H12" s="549"/>
      <c r="J12" s="59"/>
      <c r="K12" s="538"/>
      <c r="L12" s="539"/>
      <c r="M12" s="59"/>
      <c r="N12" s="538"/>
      <c r="O12" s="539"/>
      <c r="P12" s="59"/>
      <c r="Q12" s="538"/>
      <c r="R12" s="539"/>
      <c r="S12" s="59"/>
      <c r="T12" s="538"/>
      <c r="U12" s="218"/>
      <c r="V12" s="212"/>
      <c r="W12" s="59"/>
      <c r="Y12" s="33"/>
      <c r="AD12" s="33"/>
      <c r="AI12" s="33"/>
      <c r="AN12" s="33"/>
      <c r="AS12" s="33"/>
      <c r="AX12" s="33"/>
    </row>
    <row r="13" spans="1:51" s="9" customFormat="1" ht="43.9" customHeight="1">
      <c r="A13" s="62"/>
      <c r="B13" s="192" t="s">
        <v>41</v>
      </c>
      <c r="C13" s="193"/>
      <c r="D13" s="194"/>
      <c r="E13" s="106" t="s">
        <v>317</v>
      </c>
      <c r="F13" s="256">
        <f>(K13*$C$5+N13*$C$6+Q13*$C$7+T13*$C$8)/($C$9)</f>
        <v>445</v>
      </c>
      <c r="G13" s="515">
        <f>IF(SUM(G14:G21)&lt;F13,SUM(G14:G21),F13)</f>
        <v>0</v>
      </c>
      <c r="H13" s="662"/>
      <c r="I13" s="59"/>
      <c r="J13" s="63"/>
      <c r="K13" s="257">
        <v>340</v>
      </c>
      <c r="L13" s="105">
        <f>IF(SUM(L14:L21)&lt;340,SUM(L14:L21),340)</f>
        <v>0</v>
      </c>
      <c r="M13" s="63"/>
      <c r="N13" s="257">
        <v>420</v>
      </c>
      <c r="O13" s="105">
        <f>IF(SUM(O14:O21)&lt;425,SUM(O14:O21),425)</f>
        <v>0</v>
      </c>
      <c r="P13" s="63"/>
      <c r="Q13" s="257">
        <v>495</v>
      </c>
      <c r="R13" s="105">
        <f>IF(SUM(R14:R21)&lt;480,SUM(R14:R21),480)</f>
        <v>0</v>
      </c>
      <c r="S13" s="63"/>
      <c r="T13" s="257">
        <v>525</v>
      </c>
      <c r="U13" s="105">
        <f>IF(SUM(U14:U21)&lt;510,SUM(U14:U21),510)</f>
        <v>0</v>
      </c>
      <c r="V13" s="63"/>
      <c r="W13" s="63"/>
      <c r="X13" s="35"/>
      <c r="Y13" s="36"/>
      <c r="Z13" s="6"/>
      <c r="AB13" s="34"/>
      <c r="AC13" s="35"/>
      <c r="AD13" s="36"/>
      <c r="AE13" s="6"/>
      <c r="AG13" s="34"/>
      <c r="AH13" s="35"/>
      <c r="AI13" s="37"/>
      <c r="AJ13" s="6"/>
      <c r="AM13" s="35"/>
      <c r="AN13" s="37"/>
      <c r="AO13" s="6"/>
      <c r="AR13" s="35"/>
      <c r="AS13" s="36"/>
      <c r="AT13" s="6"/>
      <c r="AW13" s="35"/>
      <c r="AX13" s="36"/>
      <c r="AY13" s="6"/>
    </row>
    <row r="14" spans="1:51" s="9" customFormat="1" ht="50.25" customHeight="1">
      <c r="A14" s="62"/>
      <c r="B14" s="64" t="s">
        <v>319</v>
      </c>
      <c r="C14" s="596">
        <v>1</v>
      </c>
      <c r="D14" s="74"/>
      <c r="E14" s="489" t="s">
        <v>318</v>
      </c>
      <c r="F14" s="513"/>
      <c r="G14" s="648">
        <v>0</v>
      </c>
      <c r="H14" s="663"/>
      <c r="I14" s="8">
        <v>0</v>
      </c>
      <c r="J14" s="66">
        <v>0</v>
      </c>
      <c r="K14" s="136">
        <v>30</v>
      </c>
      <c r="L14" s="103">
        <f>$G$14</f>
        <v>0</v>
      </c>
      <c r="M14" s="66"/>
      <c r="N14" s="136">
        <v>30</v>
      </c>
      <c r="O14" s="103">
        <f>$G$14</f>
        <v>0</v>
      </c>
      <c r="P14" s="66"/>
      <c r="Q14" s="136">
        <v>30</v>
      </c>
      <c r="R14" s="103">
        <f>$G$14</f>
        <v>0</v>
      </c>
      <c r="S14" s="66"/>
      <c r="T14" s="136">
        <v>30</v>
      </c>
      <c r="U14" s="103">
        <f>$G$14</f>
        <v>0</v>
      </c>
      <c r="V14" s="63"/>
      <c r="W14" s="63"/>
      <c r="X14" s="35"/>
      <c r="Y14" s="474"/>
      <c r="Z14" s="6"/>
      <c r="AB14" s="34"/>
      <c r="AC14" s="35"/>
      <c r="AD14" s="474"/>
      <c r="AE14" s="6"/>
      <c r="AG14" s="34"/>
      <c r="AH14" s="35"/>
      <c r="AI14" s="474"/>
      <c r="AJ14" s="6"/>
      <c r="AM14" s="35"/>
      <c r="AN14" s="474"/>
      <c r="AO14" s="6"/>
      <c r="AR14" s="35"/>
      <c r="AS14" s="474"/>
      <c r="AT14" s="6"/>
      <c r="AW14" s="35"/>
      <c r="AX14" s="474"/>
      <c r="AY14" s="6"/>
    </row>
    <row r="15" spans="1:51" s="11" customFormat="1" ht="30" customHeight="1">
      <c r="A15" s="8"/>
      <c r="B15" s="64" t="s">
        <v>319</v>
      </c>
      <c r="C15" s="596">
        <v>2</v>
      </c>
      <c r="D15" s="74"/>
      <c r="E15" s="490" t="s">
        <v>320</v>
      </c>
      <c r="F15" s="514"/>
      <c r="G15" s="517">
        <v>0</v>
      </c>
      <c r="H15" s="664"/>
      <c r="I15" s="66">
        <v>10</v>
      </c>
      <c r="J15" s="66">
        <v>5</v>
      </c>
      <c r="K15" s="136">
        <v>20</v>
      </c>
      <c r="L15" s="103">
        <f>$G$15</f>
        <v>0</v>
      </c>
      <c r="M15" s="8"/>
      <c r="N15" s="136">
        <v>20</v>
      </c>
      <c r="O15" s="103">
        <f>$G$15</f>
        <v>0</v>
      </c>
      <c r="P15" s="8"/>
      <c r="Q15" s="136">
        <v>20</v>
      </c>
      <c r="R15" s="103">
        <f>$G$15</f>
        <v>0</v>
      </c>
      <c r="S15" s="8"/>
      <c r="T15" s="136">
        <v>20</v>
      </c>
      <c r="U15" s="103">
        <f>$G$15</f>
        <v>0</v>
      </c>
      <c r="V15" s="8"/>
      <c r="W15" s="8"/>
      <c r="X15" s="35"/>
      <c r="Y15" s="38"/>
      <c r="Z15" s="7"/>
      <c r="AA15" s="17"/>
      <c r="AC15" s="35"/>
      <c r="AD15" s="38"/>
      <c r="AE15" s="7"/>
      <c r="AF15" s="10"/>
      <c r="AH15" s="35"/>
      <c r="AI15" s="38"/>
      <c r="AJ15" s="7"/>
      <c r="AK15" s="10"/>
      <c r="AM15" s="35"/>
      <c r="AN15" s="38"/>
      <c r="AO15" s="7"/>
      <c r="AP15" s="10"/>
      <c r="AR15" s="35"/>
      <c r="AS15" s="38"/>
      <c r="AT15" s="7"/>
      <c r="AU15" s="10"/>
      <c r="AW15" s="35"/>
      <c r="AX15" s="38"/>
      <c r="AY15" s="7"/>
    </row>
    <row r="16" spans="1:51" s="11" customFormat="1" ht="30" customHeight="1">
      <c r="A16" s="8"/>
      <c r="B16" s="64" t="s">
        <v>319</v>
      </c>
      <c r="C16" s="596">
        <v>3</v>
      </c>
      <c r="D16" s="74"/>
      <c r="E16" s="65" t="s">
        <v>321</v>
      </c>
      <c r="F16" s="90"/>
      <c r="G16" s="516">
        <f>(L16*$C$5+O16*$C$6+R16*$C$7+U16*$C$8)/$C$9</f>
        <v>0</v>
      </c>
      <c r="H16" s="665"/>
      <c r="I16" s="66">
        <v>20</v>
      </c>
      <c r="J16" s="66">
        <v>10</v>
      </c>
      <c r="K16" s="136">
        <v>175</v>
      </c>
      <c r="L16" s="103">
        <f>SUM(A.3!F13/90*90+A.3!F41/65*65+A.3!F49/30*30)</f>
        <v>0</v>
      </c>
      <c r="M16" s="66"/>
      <c r="N16" s="136">
        <v>255</v>
      </c>
      <c r="O16" s="103">
        <f>A.3!F52/175*N16</f>
        <v>0</v>
      </c>
      <c r="P16" s="66"/>
      <c r="Q16" s="136">
        <v>380</v>
      </c>
      <c r="R16" s="103">
        <f>A.3!F52/175*Q16</f>
        <v>0</v>
      </c>
      <c r="S16" s="66"/>
      <c r="T16" s="136">
        <v>380</v>
      </c>
      <c r="U16" s="103">
        <f>A.3!F52/175*T16</f>
        <v>0</v>
      </c>
      <c r="V16" s="8"/>
      <c r="W16" s="8"/>
      <c r="X16" s="35"/>
      <c r="Y16" s="38"/>
      <c r="Z16" s="7"/>
      <c r="AA16" s="17"/>
      <c r="AC16" s="35"/>
      <c r="AD16" s="38"/>
      <c r="AE16" s="7"/>
      <c r="AF16" s="10"/>
      <c r="AH16" s="35"/>
      <c r="AI16" s="38"/>
      <c r="AJ16" s="7"/>
      <c r="AK16" s="10"/>
      <c r="AM16" s="35"/>
      <c r="AN16" s="38"/>
      <c r="AO16" s="7"/>
      <c r="AP16" s="10"/>
      <c r="AR16" s="35"/>
      <c r="AS16" s="38"/>
      <c r="AT16" s="7"/>
      <c r="AU16" s="10"/>
      <c r="AW16" s="35"/>
      <c r="AX16" s="38"/>
      <c r="AY16" s="7"/>
    </row>
    <row r="17" spans="1:51" s="11" customFormat="1" ht="30" customHeight="1">
      <c r="A17" s="8"/>
      <c r="B17" s="64" t="s">
        <v>319</v>
      </c>
      <c r="C17" s="596">
        <v>4</v>
      </c>
      <c r="D17" s="74"/>
      <c r="E17" s="65" t="s">
        <v>322</v>
      </c>
      <c r="F17" s="90"/>
      <c r="G17" s="103">
        <f>(L17*$C$5+O17*$C$6+R17*$C$7+U17*$C$8)/$C$9</f>
        <v>0</v>
      </c>
      <c r="H17" s="665"/>
      <c r="I17" s="66">
        <v>30</v>
      </c>
      <c r="J17" s="66">
        <v>15</v>
      </c>
      <c r="K17" s="136">
        <v>60</v>
      </c>
      <c r="L17" s="103">
        <f>A.4!E29/60*K17</f>
        <v>0</v>
      </c>
      <c r="M17" s="66"/>
      <c r="N17" s="136">
        <v>75</v>
      </c>
      <c r="O17" s="103">
        <f>A.4!E29/60*N17</f>
        <v>0</v>
      </c>
      <c r="P17" s="66"/>
      <c r="Q17" s="136">
        <v>90</v>
      </c>
      <c r="R17" s="103">
        <f>A.4!E29/60*Q17</f>
        <v>0</v>
      </c>
      <c r="S17" s="66"/>
      <c r="T17" s="136">
        <v>120</v>
      </c>
      <c r="U17" s="103">
        <f>A.4!E29/60*T17</f>
        <v>0</v>
      </c>
      <c r="V17" s="8"/>
      <c r="W17" s="8"/>
      <c r="X17" s="35"/>
      <c r="Y17" s="38"/>
      <c r="Z17" s="7"/>
      <c r="AA17" s="17"/>
      <c r="AC17" s="35"/>
      <c r="AD17" s="38"/>
      <c r="AE17" s="7"/>
      <c r="AF17" s="10"/>
      <c r="AH17" s="35"/>
      <c r="AI17" s="38"/>
      <c r="AJ17" s="7"/>
      <c r="AK17" s="10"/>
      <c r="AM17" s="35"/>
      <c r="AN17" s="38"/>
      <c r="AO17" s="7"/>
      <c r="AP17" s="10"/>
      <c r="AR17" s="35"/>
      <c r="AS17" s="38"/>
      <c r="AT17" s="7"/>
      <c r="AU17" s="10"/>
      <c r="AW17" s="35"/>
      <c r="AX17" s="38"/>
      <c r="AY17" s="7"/>
    </row>
    <row r="18" spans="1:51" s="11" customFormat="1" ht="30" hidden="1" customHeight="1">
      <c r="A18" s="8"/>
      <c r="B18" s="64">
        <f t="shared" ref="B18" si="0">$A$12</f>
        <v>0</v>
      </c>
      <c r="C18" s="345">
        <v>5</v>
      </c>
      <c r="D18" s="74"/>
      <c r="E18" s="339" t="s">
        <v>42</v>
      </c>
      <c r="F18" s="90"/>
      <c r="G18" s="103">
        <v>0</v>
      </c>
      <c r="H18" s="665"/>
      <c r="I18" s="8">
        <v>20</v>
      </c>
      <c r="J18" s="66">
        <v>20</v>
      </c>
      <c r="K18" s="136">
        <v>0</v>
      </c>
      <c r="L18" s="103">
        <v>0</v>
      </c>
      <c r="M18" s="66"/>
      <c r="N18" s="136">
        <v>0</v>
      </c>
      <c r="O18" s="103">
        <v>0</v>
      </c>
      <c r="P18" s="66"/>
      <c r="Q18" s="136">
        <v>0</v>
      </c>
      <c r="R18" s="103">
        <v>0</v>
      </c>
      <c r="S18" s="66"/>
      <c r="T18" s="136">
        <v>0</v>
      </c>
      <c r="U18" s="103">
        <v>0</v>
      </c>
      <c r="V18" s="8"/>
      <c r="W18" s="8"/>
      <c r="X18" s="35"/>
      <c r="Y18" s="38"/>
      <c r="Z18" s="7"/>
      <c r="AA18" s="17"/>
      <c r="AC18" s="35"/>
      <c r="AD18" s="38"/>
      <c r="AE18" s="7"/>
      <c r="AF18" s="10"/>
      <c r="AH18" s="35"/>
      <c r="AI18" s="38"/>
      <c r="AJ18" s="7"/>
      <c r="AK18" s="10"/>
      <c r="AM18" s="35"/>
      <c r="AN18" s="38"/>
      <c r="AO18" s="7"/>
      <c r="AP18" s="10"/>
      <c r="AR18" s="35"/>
      <c r="AS18" s="38"/>
      <c r="AT18" s="7"/>
      <c r="AU18" s="10"/>
      <c r="AW18" s="35"/>
      <c r="AX18" s="38"/>
      <c r="AY18" s="7"/>
    </row>
    <row r="19" spans="1:51" s="11" customFormat="1" ht="30" customHeight="1">
      <c r="A19" s="8"/>
      <c r="B19" s="64" t="s">
        <v>319</v>
      </c>
      <c r="C19" s="345">
        <v>6</v>
      </c>
      <c r="D19" s="74"/>
      <c r="E19" s="342" t="s">
        <v>43</v>
      </c>
      <c r="F19" s="338"/>
      <c r="G19" s="103">
        <f>A.6!E9</f>
        <v>0</v>
      </c>
      <c r="H19" s="665"/>
      <c r="J19" s="66"/>
      <c r="K19" s="136">
        <v>40</v>
      </c>
      <c r="L19" s="103">
        <f>G19</f>
        <v>0</v>
      </c>
      <c r="M19" s="66"/>
      <c r="N19" s="136">
        <v>40</v>
      </c>
      <c r="O19" s="103">
        <f>G19</f>
        <v>0</v>
      </c>
      <c r="P19" s="66"/>
      <c r="Q19" s="774"/>
      <c r="R19" s="775"/>
      <c r="S19" s="66"/>
      <c r="T19" s="774"/>
      <c r="U19" s="775"/>
      <c r="V19" s="8"/>
      <c r="W19" s="8"/>
      <c r="X19" s="35"/>
      <c r="Y19" s="38"/>
      <c r="Z19" s="7"/>
      <c r="AA19" s="17"/>
      <c r="AC19" s="35"/>
      <c r="AD19" s="38"/>
      <c r="AE19" s="7"/>
      <c r="AF19" s="10"/>
      <c r="AH19" s="35"/>
      <c r="AI19" s="38"/>
      <c r="AJ19" s="7"/>
      <c r="AK19" s="10"/>
      <c r="AM19" s="35"/>
      <c r="AN19" s="38"/>
      <c r="AO19" s="7"/>
      <c r="AP19" s="10"/>
      <c r="AR19" s="35"/>
      <c r="AS19" s="38"/>
      <c r="AT19" s="7"/>
      <c r="AU19" s="10"/>
      <c r="AW19" s="35"/>
      <c r="AX19" s="38"/>
      <c r="AY19" s="7"/>
    </row>
    <row r="20" spans="1:51" s="11" customFormat="1" ht="30" customHeight="1">
      <c r="A20" s="8"/>
      <c r="B20" s="64" t="s">
        <v>319</v>
      </c>
      <c r="C20" s="596">
        <v>7</v>
      </c>
      <c r="D20" s="74"/>
      <c r="E20" s="339" t="s">
        <v>45</v>
      </c>
      <c r="F20" s="338"/>
      <c r="G20" s="258">
        <f>A.7!E12</f>
        <v>0</v>
      </c>
      <c r="H20" s="665"/>
      <c r="J20" s="66"/>
      <c r="K20" s="136">
        <v>10</v>
      </c>
      <c r="L20" s="103">
        <f t="shared" ref="L20" si="1">G20</f>
        <v>0</v>
      </c>
      <c r="M20" s="66"/>
      <c r="N20" s="136">
        <v>10</v>
      </c>
      <c r="O20" s="103">
        <f t="shared" ref="O20" si="2">G20</f>
        <v>0</v>
      </c>
      <c r="P20" s="66"/>
      <c r="Q20" s="774"/>
      <c r="R20" s="775"/>
      <c r="S20" s="66"/>
      <c r="T20" s="774"/>
      <c r="U20" s="775"/>
      <c r="V20" s="8"/>
      <c r="W20" s="8"/>
      <c r="X20" s="35"/>
      <c r="Y20" s="38"/>
      <c r="Z20" s="7"/>
      <c r="AA20" s="17"/>
      <c r="AC20" s="35"/>
      <c r="AD20" s="38"/>
      <c r="AE20" s="7"/>
      <c r="AF20" s="10"/>
      <c r="AH20" s="35"/>
      <c r="AI20" s="38"/>
      <c r="AJ20" s="7"/>
      <c r="AK20" s="10"/>
      <c r="AM20" s="35"/>
      <c r="AN20" s="38"/>
      <c r="AO20" s="7"/>
      <c r="AP20" s="10"/>
      <c r="AR20" s="35"/>
      <c r="AS20" s="38"/>
      <c r="AT20" s="7"/>
      <c r="AU20" s="10"/>
      <c r="AW20" s="35"/>
      <c r="AX20" s="38"/>
      <c r="AY20" s="7"/>
    </row>
    <row r="21" spans="1:51" s="11" customFormat="1" ht="30" customHeight="1" thickBot="1">
      <c r="A21" s="8"/>
      <c r="B21" s="124" t="s">
        <v>319</v>
      </c>
      <c r="C21" s="597">
        <v>8</v>
      </c>
      <c r="D21" s="598"/>
      <c r="E21" s="518" t="s">
        <v>46</v>
      </c>
      <c r="F21" s="102"/>
      <c r="G21" s="112">
        <f>A.8!D6</f>
        <v>0</v>
      </c>
      <c r="H21" s="665"/>
      <c r="I21" s="476"/>
      <c r="J21" s="669"/>
      <c r="K21" s="129">
        <v>10</v>
      </c>
      <c r="L21" s="112">
        <f>G21</f>
        <v>0</v>
      </c>
      <c r="M21" s="669"/>
      <c r="N21" s="129">
        <v>10</v>
      </c>
      <c r="O21" s="112">
        <f>G21</f>
        <v>0</v>
      </c>
      <c r="P21" s="669"/>
      <c r="Q21" s="776"/>
      <c r="R21" s="777"/>
      <c r="S21" s="669"/>
      <c r="T21" s="776"/>
      <c r="U21" s="777"/>
      <c r="V21" s="8"/>
      <c r="W21" s="8"/>
      <c r="X21" s="35"/>
      <c r="Y21" s="38"/>
      <c r="Z21" s="7"/>
      <c r="AA21" s="17"/>
      <c r="AC21" s="35"/>
      <c r="AD21" s="38"/>
      <c r="AE21" s="7"/>
      <c r="AF21" s="10"/>
      <c r="AH21" s="35"/>
      <c r="AI21" s="38"/>
      <c r="AJ21" s="7"/>
      <c r="AK21" s="10"/>
      <c r="AM21" s="35"/>
      <c r="AN21" s="38"/>
      <c r="AO21" s="7"/>
      <c r="AP21" s="10"/>
      <c r="AR21" s="35"/>
      <c r="AS21" s="38"/>
      <c r="AT21" s="7"/>
      <c r="AU21" s="10"/>
      <c r="AW21" s="35"/>
      <c r="AX21" s="38"/>
      <c r="AY21" s="7"/>
    </row>
    <row r="22" spans="1:51" ht="21.75" customHeight="1" thickBot="1">
      <c r="A22" s="16"/>
      <c r="B22" s="57"/>
      <c r="C22" s="58"/>
      <c r="D22" s="459"/>
      <c r="E22" s="66"/>
      <c r="F22" s="67"/>
      <c r="G22" s="475"/>
      <c r="H22" s="67"/>
      <c r="J22" s="59"/>
      <c r="K22" s="488"/>
      <c r="L22" s="67"/>
      <c r="M22" s="59"/>
      <c r="N22" s="67"/>
      <c r="O22" s="67"/>
      <c r="P22" s="59"/>
      <c r="Q22" s="67"/>
      <c r="R22" s="475"/>
      <c r="S22" s="59"/>
      <c r="T22" s="67"/>
      <c r="U22" s="475"/>
      <c r="V22" s="59"/>
      <c r="W22" s="59"/>
      <c r="Y22" s="41"/>
      <c r="Z22" s="4"/>
      <c r="AA22" s="21"/>
      <c r="AD22" s="41"/>
      <c r="AE22" s="4"/>
      <c r="AI22" s="41"/>
      <c r="AJ22" s="4"/>
      <c r="AK22" s="21"/>
      <c r="AN22" s="41"/>
      <c r="AO22" s="4"/>
      <c r="AS22" s="41"/>
      <c r="AT22" s="4"/>
      <c r="AU22" s="21"/>
      <c r="AX22" s="41"/>
      <c r="AY22" s="4"/>
    </row>
    <row r="23" spans="1:51" s="12" customFormat="1" ht="30" customHeight="1">
      <c r="A23" s="68"/>
      <c r="B23" s="69" t="s">
        <v>47</v>
      </c>
      <c r="C23" s="259"/>
      <c r="D23" s="260"/>
      <c r="E23" s="107" t="s">
        <v>401</v>
      </c>
      <c r="F23" s="261">
        <f>(K23*$C$5+N23*$C$6+Q23*$C$7+T23*$C$8)/($C$9)</f>
        <v>228.75</v>
      </c>
      <c r="G23" s="262">
        <f>(L23*$C$5+O23*$C$6+R23*$C$7+U23*$C$8)/($C$9)</f>
        <v>0</v>
      </c>
      <c r="H23" s="666"/>
      <c r="I23" s="70">
        <v>0</v>
      </c>
      <c r="J23" s="123"/>
      <c r="K23" s="263">
        <v>330</v>
      </c>
      <c r="L23" s="262">
        <f>'Komm. Beurteilung'!F38+L29</f>
        <v>0</v>
      </c>
      <c r="M23" s="120"/>
      <c r="N23" s="264">
        <v>300</v>
      </c>
      <c r="O23" s="262">
        <f>'Komm. Beurteilung'!F77+O29</f>
        <v>0</v>
      </c>
      <c r="P23" s="70"/>
      <c r="Q23" s="263">
        <v>165</v>
      </c>
      <c r="R23" s="265">
        <f>'Komm. Beurteilung'!F116+R29</f>
        <v>0</v>
      </c>
      <c r="S23" s="120"/>
      <c r="T23" s="264">
        <v>120</v>
      </c>
      <c r="U23" s="262">
        <f>'Komm. Beurteilung'!F155+U29</f>
        <v>0</v>
      </c>
      <c r="V23" s="70"/>
      <c r="W23" s="70"/>
      <c r="X23" s="43"/>
      <c r="Y23" s="44"/>
      <c r="Z23" s="2"/>
      <c r="AA23" s="19"/>
      <c r="AB23" s="42"/>
      <c r="AC23" s="43"/>
      <c r="AD23" s="44"/>
      <c r="AE23" s="2"/>
      <c r="AG23" s="42"/>
      <c r="AH23" s="43"/>
      <c r="AI23" s="44"/>
      <c r="AJ23" s="2"/>
      <c r="AK23" s="19"/>
      <c r="AM23" s="43"/>
      <c r="AN23" s="44"/>
      <c r="AO23" s="2"/>
      <c r="AR23" s="43"/>
      <c r="AS23" s="44"/>
      <c r="AT23" s="2"/>
      <c r="AU23" s="19"/>
      <c r="AW23" s="43"/>
      <c r="AX23" s="44"/>
      <c r="AY23" s="2"/>
    </row>
    <row r="24" spans="1:51" ht="30" customHeight="1">
      <c r="A24" s="16"/>
      <c r="B24" s="64" t="s">
        <v>403</v>
      </c>
      <c r="C24" s="79" t="str">
        <f>C$27</f>
        <v>2.</v>
      </c>
      <c r="D24" s="74">
        <v>1</v>
      </c>
      <c r="E24" s="73" t="s">
        <v>48</v>
      </c>
      <c r="F24" s="90"/>
      <c r="G24" s="746"/>
      <c r="H24" s="665"/>
      <c r="I24" s="59">
        <v>15</v>
      </c>
      <c r="J24" s="121"/>
      <c r="K24" s="778" t="s">
        <v>49</v>
      </c>
      <c r="L24" s="779"/>
      <c r="M24" s="118"/>
      <c r="N24" s="769" t="s">
        <v>49</v>
      </c>
      <c r="O24" s="770"/>
      <c r="P24" s="59"/>
      <c r="Q24" s="769" t="s">
        <v>49</v>
      </c>
      <c r="R24" s="770"/>
      <c r="S24" s="118"/>
      <c r="T24" s="769" t="s">
        <v>49</v>
      </c>
      <c r="U24" s="770"/>
      <c r="V24" s="59"/>
      <c r="W24" s="59"/>
      <c r="X24" s="45"/>
      <c r="Y24" s="40"/>
      <c r="Z24" s="4"/>
      <c r="AA24" s="21"/>
      <c r="AC24" s="45"/>
      <c r="AD24" s="40"/>
      <c r="AE24" s="4"/>
      <c r="AH24" s="45"/>
      <c r="AI24" s="40"/>
      <c r="AJ24" s="4"/>
      <c r="AK24" s="21"/>
      <c r="AM24" s="45"/>
      <c r="AN24" s="40"/>
      <c r="AO24" s="4"/>
      <c r="AR24" s="45"/>
      <c r="AS24" s="40"/>
      <c r="AT24" s="4"/>
      <c r="AU24" s="21"/>
      <c r="AW24" s="45"/>
      <c r="AX24" s="40"/>
      <c r="AY24" s="4"/>
    </row>
    <row r="25" spans="1:51" ht="30" customHeight="1">
      <c r="A25" s="16"/>
      <c r="B25" s="64" t="s">
        <v>403</v>
      </c>
      <c r="C25" s="79" t="s">
        <v>402</v>
      </c>
      <c r="D25" s="74">
        <v>2</v>
      </c>
      <c r="E25" s="73" t="s">
        <v>50</v>
      </c>
      <c r="F25" s="90"/>
      <c r="G25" s="747"/>
      <c r="H25" s="665"/>
      <c r="I25" s="59">
        <v>25</v>
      </c>
      <c r="J25" s="121"/>
      <c r="K25" s="780"/>
      <c r="L25" s="781"/>
      <c r="M25" s="118"/>
      <c r="N25" s="771"/>
      <c r="O25" s="772"/>
      <c r="P25" s="59"/>
      <c r="Q25" s="771"/>
      <c r="R25" s="772"/>
      <c r="S25" s="118"/>
      <c r="T25" s="771"/>
      <c r="U25" s="772"/>
      <c r="V25" s="59"/>
      <c r="W25" s="59"/>
      <c r="X25" s="45"/>
      <c r="Y25" s="40"/>
      <c r="Z25" s="4"/>
      <c r="AA25" s="21"/>
      <c r="AC25" s="45"/>
      <c r="AD25" s="40"/>
      <c r="AE25" s="4"/>
      <c r="AH25" s="45"/>
      <c r="AI25" s="40"/>
      <c r="AJ25" s="4"/>
      <c r="AK25" s="21"/>
      <c r="AM25" s="45"/>
      <c r="AN25" s="40"/>
      <c r="AO25" s="4"/>
      <c r="AR25" s="45"/>
      <c r="AS25" s="40"/>
      <c r="AT25" s="4"/>
      <c r="AU25" s="21"/>
      <c r="AW25" s="45"/>
      <c r="AX25" s="40"/>
      <c r="AY25" s="4"/>
    </row>
    <row r="26" spans="1:51" ht="30" customHeight="1">
      <c r="A26" s="16"/>
      <c r="B26" s="64" t="s">
        <v>403</v>
      </c>
      <c r="C26" s="79" t="s">
        <v>402</v>
      </c>
      <c r="D26" s="74">
        <v>3</v>
      </c>
      <c r="E26" s="73" t="s">
        <v>51</v>
      </c>
      <c r="F26" s="90"/>
      <c r="G26" s="747"/>
      <c r="H26" s="665"/>
      <c r="I26" s="59">
        <v>50</v>
      </c>
      <c r="J26" s="121"/>
      <c r="K26" s="780"/>
      <c r="L26" s="781"/>
      <c r="M26" s="118"/>
      <c r="N26" s="771"/>
      <c r="O26" s="772"/>
      <c r="P26" s="59"/>
      <c r="Q26" s="771"/>
      <c r="R26" s="772"/>
      <c r="S26" s="118"/>
      <c r="T26" s="771"/>
      <c r="U26" s="772"/>
      <c r="V26" s="59"/>
      <c r="W26" s="59"/>
      <c r="X26" s="45"/>
      <c r="Y26" s="40"/>
      <c r="Z26" s="4"/>
      <c r="AA26" s="21"/>
      <c r="AC26" s="45"/>
      <c r="AD26" s="40"/>
      <c r="AE26" s="4"/>
      <c r="AH26" s="45"/>
      <c r="AI26" s="40"/>
      <c r="AJ26" s="4"/>
      <c r="AK26" s="21"/>
      <c r="AM26" s="45"/>
      <c r="AN26" s="40"/>
      <c r="AO26" s="4"/>
      <c r="AR26" s="45"/>
      <c r="AS26" s="40"/>
      <c r="AT26" s="4"/>
      <c r="AU26" s="21"/>
      <c r="AW26" s="45"/>
      <c r="AX26" s="40"/>
      <c r="AY26" s="4"/>
    </row>
    <row r="27" spans="1:51" s="15" customFormat="1" ht="30" customHeight="1">
      <c r="A27" s="76"/>
      <c r="B27" s="64" t="s">
        <v>403</v>
      </c>
      <c r="C27" s="77" t="s">
        <v>402</v>
      </c>
      <c r="D27" s="74">
        <v>4</v>
      </c>
      <c r="E27" s="73" t="s">
        <v>52</v>
      </c>
      <c r="F27" s="90"/>
      <c r="G27" s="748"/>
      <c r="H27" s="67"/>
      <c r="I27" s="78"/>
      <c r="J27" s="117"/>
      <c r="K27" s="780"/>
      <c r="L27" s="781"/>
      <c r="M27" s="115"/>
      <c r="N27" s="773"/>
      <c r="O27" s="772"/>
      <c r="P27" s="78"/>
      <c r="Q27" s="773"/>
      <c r="R27" s="772"/>
      <c r="S27" s="115"/>
      <c r="T27" s="773"/>
      <c r="U27" s="772"/>
      <c r="V27" s="78"/>
      <c r="W27" s="78"/>
      <c r="X27" s="47"/>
      <c r="Y27" s="40"/>
      <c r="Z27" s="5"/>
      <c r="AA27" s="22"/>
      <c r="AB27" s="46"/>
      <c r="AC27" s="47"/>
      <c r="AD27" s="40"/>
      <c r="AE27" s="5"/>
      <c r="AG27" s="46"/>
      <c r="AH27" s="47"/>
      <c r="AI27" s="40"/>
      <c r="AJ27" s="5"/>
      <c r="AK27" s="22"/>
      <c r="AM27" s="47"/>
      <c r="AN27" s="40"/>
      <c r="AO27" s="5"/>
      <c r="AR27" s="47"/>
      <c r="AS27" s="40"/>
      <c r="AT27" s="5"/>
      <c r="AU27" s="22"/>
      <c r="AW27" s="47"/>
      <c r="AX27" s="40"/>
      <c r="AY27" s="5"/>
    </row>
    <row r="28" spans="1:51" s="11" customFormat="1" ht="30" customHeight="1">
      <c r="A28" s="8"/>
      <c r="B28" s="64" t="s">
        <v>403</v>
      </c>
      <c r="C28" s="79" t="s">
        <v>402</v>
      </c>
      <c r="D28" s="74">
        <v>5</v>
      </c>
      <c r="E28" s="73" t="s">
        <v>53</v>
      </c>
      <c r="F28" s="90"/>
      <c r="G28" s="748"/>
      <c r="H28" s="67"/>
      <c r="I28" s="66"/>
      <c r="J28" s="116"/>
      <c r="K28" s="767" t="str">
        <f>"Punkte Kommision = "&amp;'Komm. Beurteilung'!F38</f>
        <v>Punkte Kommision = 0</v>
      </c>
      <c r="L28" s="768"/>
      <c r="M28" s="114"/>
      <c r="N28" s="767" t="str">
        <f>"Punkte Kommision = "&amp;'Komm. Beurteilung'!F77</f>
        <v>Punkte Kommision = 0</v>
      </c>
      <c r="O28" s="768"/>
      <c r="P28" s="66"/>
      <c r="Q28" s="767" t="str">
        <f>"Punkte Kommision = "&amp;'Komm. Beurteilung'!F116</f>
        <v>Punkte Kommision = 0</v>
      </c>
      <c r="R28" s="768"/>
      <c r="S28" s="114"/>
      <c r="T28" s="767" t="str">
        <f>"Punkte Kommision = "&amp;'Komm. Beurteilung'!F155</f>
        <v>Punkte Kommision = 0</v>
      </c>
      <c r="U28" s="768"/>
      <c r="V28" s="66"/>
      <c r="W28" s="66"/>
      <c r="X28" s="39"/>
      <c r="Y28" s="40"/>
      <c r="Z28" s="1"/>
      <c r="AA28" s="18"/>
      <c r="AB28" s="10"/>
      <c r="AC28" s="39"/>
      <c r="AD28" s="40"/>
      <c r="AE28" s="1"/>
      <c r="AG28" s="10"/>
      <c r="AH28" s="39"/>
      <c r="AI28" s="40"/>
      <c r="AJ28" s="1"/>
      <c r="AK28" s="18"/>
      <c r="AM28" s="39"/>
      <c r="AN28" s="40"/>
      <c r="AO28" s="1"/>
      <c r="AR28" s="39"/>
      <c r="AS28" s="40"/>
      <c r="AT28" s="1"/>
      <c r="AU28" s="18"/>
      <c r="AW28" s="39"/>
      <c r="AX28" s="40"/>
      <c r="AY28" s="1"/>
    </row>
    <row r="29" spans="1:51" ht="30" customHeight="1" thickBot="1">
      <c r="A29" s="16"/>
      <c r="B29" s="679" t="s">
        <v>47</v>
      </c>
      <c r="C29" s="680">
        <v>3</v>
      </c>
      <c r="D29" s="681"/>
      <c r="E29" s="682" t="s">
        <v>404</v>
      </c>
      <c r="F29" s="683">
        <v>10</v>
      </c>
      <c r="G29" s="678"/>
      <c r="H29" s="667"/>
      <c r="I29" s="135">
        <v>0</v>
      </c>
      <c r="J29" s="121"/>
      <c r="K29" s="129">
        <v>10</v>
      </c>
      <c r="L29" s="672">
        <f>IF(ISNUMBER(B.3!D6),B.3!D6,0)</f>
        <v>0</v>
      </c>
      <c r="M29" s="118"/>
      <c r="N29" s="671">
        <v>10</v>
      </c>
      <c r="O29" s="672">
        <f>IF(ISNUMBER(B.3!D6),B.3!D6,0)</f>
        <v>0</v>
      </c>
      <c r="P29" s="59"/>
      <c r="Q29" s="129">
        <v>10</v>
      </c>
      <c r="R29" s="112">
        <f>IF(ISNUMBER(B.3!D6),B.3!D6,0)</f>
        <v>0</v>
      </c>
      <c r="S29" s="118"/>
      <c r="T29" s="129">
        <v>10</v>
      </c>
      <c r="U29" s="112">
        <f>IF(ISNUMBER(B.3!D6),B.3!D6,0)</f>
        <v>0</v>
      </c>
      <c r="V29" s="59"/>
      <c r="W29" s="59"/>
      <c r="X29" s="45"/>
      <c r="Y29" s="40"/>
      <c r="Z29" s="4"/>
      <c r="AA29" s="21"/>
      <c r="AC29" s="45"/>
      <c r="AD29" s="40"/>
      <c r="AE29" s="4"/>
      <c r="AH29" s="45"/>
      <c r="AI29" s="40"/>
      <c r="AJ29" s="4"/>
      <c r="AK29" s="21"/>
      <c r="AM29" s="45"/>
      <c r="AN29" s="40"/>
      <c r="AO29" s="4"/>
      <c r="AR29" s="45"/>
      <c r="AS29" s="40"/>
      <c r="AT29" s="4"/>
      <c r="AU29" s="21"/>
      <c r="AW29" s="45"/>
      <c r="AX29" s="40"/>
      <c r="AY29" s="4"/>
    </row>
    <row r="30" spans="1:51" ht="6" customHeight="1" thickBot="1">
      <c r="A30" s="16"/>
      <c r="B30" s="57"/>
      <c r="C30" s="58"/>
      <c r="D30" s="459"/>
      <c r="E30" s="199"/>
      <c r="F30" s="80"/>
      <c r="G30" s="67"/>
      <c r="H30" s="67"/>
      <c r="I30" s="59"/>
      <c r="J30" s="59"/>
      <c r="K30" s="80"/>
      <c r="L30" s="67"/>
      <c r="M30" s="59"/>
      <c r="N30" s="80"/>
      <c r="O30" s="67"/>
      <c r="P30" s="59"/>
      <c r="Q30" s="670"/>
      <c r="R30" s="67"/>
      <c r="S30" s="59"/>
      <c r="T30" s="80"/>
      <c r="U30" s="67"/>
      <c r="V30" s="59"/>
      <c r="W30" s="59"/>
      <c r="Y30" s="41"/>
      <c r="Z30" s="4"/>
      <c r="AA30" s="21"/>
      <c r="AD30" s="41"/>
      <c r="AE30" s="4"/>
      <c r="AI30" s="41"/>
      <c r="AJ30" s="4"/>
      <c r="AK30" s="21"/>
      <c r="AN30" s="41"/>
      <c r="AO30" s="4"/>
      <c r="AS30" s="41"/>
      <c r="AT30" s="4"/>
      <c r="AU30" s="21"/>
      <c r="AX30" s="41"/>
      <c r="AY30" s="4"/>
    </row>
    <row r="31" spans="1:51" s="12" customFormat="1" ht="30" customHeight="1">
      <c r="A31" s="68"/>
      <c r="B31" s="81" t="s">
        <v>54</v>
      </c>
      <c r="C31" s="82"/>
      <c r="D31" s="109"/>
      <c r="E31" s="108" t="s">
        <v>55</v>
      </c>
      <c r="F31" s="266">
        <f>(K31*$C$5+N31*$C$6+Q31*$C$7+T31*$C$8)/($C$9)</f>
        <v>43.75</v>
      </c>
      <c r="G31" s="267">
        <f>IF(SUM(G32,G33)&lt;F31,G32+G33,F31)</f>
        <v>0</v>
      </c>
      <c r="H31" s="666"/>
      <c r="I31" s="70"/>
      <c r="J31" s="70"/>
      <c r="K31" s="268">
        <v>125</v>
      </c>
      <c r="L31" s="267">
        <f>IF((L32+L33)&lt;125,(L32+L33),125)</f>
        <v>0</v>
      </c>
      <c r="M31" s="70"/>
      <c r="N31" s="268">
        <v>50</v>
      </c>
      <c r="O31" s="267">
        <f>IF((O32+O33)&lt;50,(O32+O33),50)</f>
        <v>0</v>
      </c>
      <c r="P31" s="123"/>
      <c r="Q31" s="268">
        <v>0</v>
      </c>
      <c r="R31" s="269">
        <f>IF((R32+R33)&lt;125,(R32+R33),125)</f>
        <v>0</v>
      </c>
      <c r="S31" s="120"/>
      <c r="T31" s="511">
        <v>0</v>
      </c>
      <c r="U31" s="512">
        <f>IF((U32+U33)&lt;125,(U32+U33),125)</f>
        <v>0</v>
      </c>
      <c r="V31" s="70"/>
      <c r="W31" s="70"/>
      <c r="X31" s="43"/>
      <c r="Y31" s="48"/>
      <c r="Z31" s="2"/>
      <c r="AA31" s="19"/>
      <c r="AB31" s="42"/>
      <c r="AC31" s="43"/>
      <c r="AD31" s="48"/>
      <c r="AE31" s="2"/>
      <c r="AG31" s="42"/>
      <c r="AH31" s="43"/>
      <c r="AI31" s="48"/>
      <c r="AJ31" s="2"/>
      <c r="AK31" s="19"/>
      <c r="AM31" s="43"/>
      <c r="AN31" s="48"/>
      <c r="AO31" s="2"/>
      <c r="AR31" s="43"/>
      <c r="AS31" s="48"/>
      <c r="AT31" s="2"/>
      <c r="AU31" s="19"/>
      <c r="AW31" s="43"/>
      <c r="AX31" s="48"/>
      <c r="AY31" s="2"/>
    </row>
    <row r="32" spans="1:51" ht="30" customHeight="1">
      <c r="A32" s="16"/>
      <c r="B32" s="64" t="s">
        <v>406</v>
      </c>
      <c r="C32" s="79">
        <v>1</v>
      </c>
      <c r="D32" s="74"/>
      <c r="E32" s="75" t="s">
        <v>56</v>
      </c>
      <c r="F32" s="655">
        <f>(K32*$C$5+N32*$C$6+0*$C$7+0*$C$8)/($C$9)</f>
        <v>31.25</v>
      </c>
      <c r="G32" s="258">
        <f>IF(SUM((L32*$C$5+O32*$C$6+0*$C$7+0*$C$8)/C9)&lt;F32,SUM((L32*$C$5+O32*$C$6+0*$C$7+0*$C$8)/$C$9),F32)</f>
        <v>0</v>
      </c>
      <c r="H32" s="665"/>
      <c r="I32" s="59"/>
      <c r="J32" s="59"/>
      <c r="K32" s="673">
        <v>75</v>
      </c>
      <c r="L32" s="103">
        <f>IF(SUM('C.1'!C12)&lt;75,SUM('C.1'!C12),75)</f>
        <v>0</v>
      </c>
      <c r="M32" s="59"/>
      <c r="N32" s="673">
        <v>50</v>
      </c>
      <c r="O32" s="103">
        <f>'C.1'!C21</f>
        <v>0</v>
      </c>
      <c r="P32" s="121"/>
      <c r="Q32" s="802"/>
      <c r="R32" s="803"/>
      <c r="S32" s="135"/>
      <c r="T32" s="806"/>
      <c r="U32" s="807"/>
      <c r="V32" s="59"/>
      <c r="W32" s="59"/>
      <c r="X32" s="45"/>
      <c r="Y32" s="40"/>
      <c r="Z32" s="4"/>
      <c r="AA32" s="21"/>
      <c r="AC32" s="45"/>
      <c r="AD32" s="40"/>
      <c r="AE32" s="4"/>
      <c r="AH32" s="45"/>
      <c r="AI32" s="40"/>
      <c r="AJ32" s="4"/>
      <c r="AK32" s="21"/>
      <c r="AM32" s="45"/>
      <c r="AN32" s="40"/>
      <c r="AO32" s="4"/>
      <c r="AR32" s="45"/>
      <c r="AS32" s="40"/>
      <c r="AT32" s="4"/>
      <c r="AU32" s="21"/>
      <c r="AW32" s="45"/>
      <c r="AX32" s="40"/>
      <c r="AY32" s="4"/>
    </row>
    <row r="33" spans="1:51" ht="30" customHeight="1" thickBot="1">
      <c r="A33" s="16"/>
      <c r="B33" s="124" t="s">
        <v>406</v>
      </c>
      <c r="C33" s="111">
        <v>2</v>
      </c>
      <c r="D33" s="346"/>
      <c r="E33" s="656" t="s">
        <v>57</v>
      </c>
      <c r="F33" s="657">
        <f>(K33*$C$5+0*$C$6+0*$C$7+0*$C$8)/($C$9)</f>
        <v>17.5</v>
      </c>
      <c r="G33" s="112">
        <f>IF(SUM((L33*$C$5+0*$C$6+0*$C$7+0*$C$8)/$C$9)&lt;F33,SUM((L33*$C$5+0*$C$6+0*$C$7+0*$C$8)/$C$9),F33)</f>
        <v>0</v>
      </c>
      <c r="H33" s="665"/>
      <c r="I33" s="59"/>
      <c r="J33" s="59"/>
      <c r="K33" s="674">
        <v>70</v>
      </c>
      <c r="L33" s="112">
        <f>IF(SUM('C.2'!D13)&lt;70,SUM('C.2'!D13),70)</f>
        <v>0</v>
      </c>
      <c r="M33" s="59"/>
      <c r="N33" s="800"/>
      <c r="O33" s="801"/>
      <c r="P33" s="121"/>
      <c r="Q33" s="804"/>
      <c r="R33" s="805"/>
      <c r="S33" s="135"/>
      <c r="T33" s="800"/>
      <c r="U33" s="801"/>
      <c r="V33" s="59"/>
      <c r="W33" s="59"/>
      <c r="X33" s="45"/>
      <c r="Y33" s="40"/>
      <c r="Z33" s="4"/>
      <c r="AA33" s="21"/>
      <c r="AC33" s="45"/>
      <c r="AD33" s="40"/>
      <c r="AE33" s="4"/>
      <c r="AH33" s="45"/>
      <c r="AI33" s="40"/>
      <c r="AJ33" s="4"/>
      <c r="AK33" s="21"/>
      <c r="AM33" s="45"/>
      <c r="AN33" s="40"/>
      <c r="AO33" s="4"/>
      <c r="AR33" s="45"/>
      <c r="AS33" s="40"/>
      <c r="AT33" s="4"/>
      <c r="AU33" s="21"/>
      <c r="AW33" s="45"/>
      <c r="AX33" s="40"/>
      <c r="AY33" s="4"/>
    </row>
    <row r="34" spans="1:51" s="12" customFormat="1" ht="21" thickBot="1">
      <c r="A34" s="68"/>
      <c r="B34" s="57"/>
      <c r="C34" s="58"/>
      <c r="D34" s="459"/>
      <c r="E34" s="83" t="s">
        <v>58</v>
      </c>
      <c r="F34" s="67"/>
      <c r="G34" s="67"/>
      <c r="H34" s="67"/>
      <c r="I34" s="59"/>
      <c r="J34" s="59"/>
      <c r="K34" s="498"/>
      <c r="L34" s="67"/>
      <c r="M34" s="59"/>
      <c r="N34" s="475"/>
      <c r="O34" s="475"/>
      <c r="P34" s="59"/>
      <c r="Q34" s="198"/>
      <c r="R34" s="198"/>
      <c r="S34" s="59"/>
      <c r="T34" s="67"/>
      <c r="U34" s="67"/>
      <c r="V34" s="70"/>
      <c r="W34" s="70"/>
      <c r="X34" s="43"/>
      <c r="Y34" s="49"/>
      <c r="Z34" s="2"/>
      <c r="AA34" s="19"/>
      <c r="AB34" s="42"/>
      <c r="AC34" s="43"/>
      <c r="AD34" s="49"/>
      <c r="AE34" s="2"/>
      <c r="AG34" s="42"/>
      <c r="AH34" s="43"/>
      <c r="AI34" s="49"/>
      <c r="AJ34" s="2"/>
      <c r="AK34" s="19"/>
      <c r="AM34" s="43"/>
      <c r="AN34" s="49"/>
      <c r="AO34" s="2"/>
      <c r="AR34" s="43"/>
      <c r="AS34" s="49"/>
      <c r="AT34" s="2"/>
      <c r="AU34" s="19"/>
      <c r="AV34" s="510"/>
      <c r="AW34" s="43"/>
      <c r="AX34" s="49"/>
      <c r="AY34" s="2"/>
    </row>
    <row r="35" spans="1:51" s="13" customFormat="1" ht="30" customHeight="1">
      <c r="A35" s="71"/>
      <c r="B35" s="84" t="s">
        <v>59</v>
      </c>
      <c r="C35" s="85"/>
      <c r="D35" s="270"/>
      <c r="E35" s="110" t="s">
        <v>407</v>
      </c>
      <c r="F35" s="271">
        <f>(K35*$C$5+N35*$C$6+Q35*$C$7+T35*$C$8)/($C$9)</f>
        <v>287.5</v>
      </c>
      <c r="G35" s="272">
        <f>IF((G36)&lt;F35,G36,F35)</f>
        <v>0</v>
      </c>
      <c r="H35" s="666"/>
      <c r="I35" s="70"/>
      <c r="J35" s="123"/>
      <c r="K35" s="675">
        <v>205</v>
      </c>
      <c r="L35" s="274">
        <f>IF((L36)&lt;245,(L36),245)</f>
        <v>0</v>
      </c>
      <c r="M35" s="120"/>
      <c r="N35" s="275">
        <v>245</v>
      </c>
      <c r="O35" s="274">
        <f>IF((O36)&lt;280,(O36),280)</f>
        <v>0</v>
      </c>
      <c r="P35" s="120"/>
      <c r="Q35" s="275">
        <v>340</v>
      </c>
      <c r="R35" s="274">
        <f>IF((R36)&lt;400,(R36),400)</f>
        <v>0</v>
      </c>
      <c r="S35" s="120"/>
      <c r="T35" s="273">
        <v>360</v>
      </c>
      <c r="U35" s="276">
        <f>IF((U36)&lt;430,(U36),430)</f>
        <v>0</v>
      </c>
      <c r="V35" s="87"/>
      <c r="W35" s="87"/>
      <c r="X35" s="51"/>
      <c r="Y35" s="52"/>
      <c r="Z35" s="3"/>
      <c r="AA35" s="20"/>
      <c r="AB35" s="50"/>
      <c r="AC35" s="51"/>
      <c r="AD35" s="52"/>
      <c r="AE35" s="3"/>
      <c r="AG35" s="50"/>
      <c r="AH35" s="51"/>
      <c r="AI35" s="52"/>
      <c r="AJ35" s="3"/>
      <c r="AK35" s="20"/>
      <c r="AM35" s="51"/>
      <c r="AN35" s="52"/>
      <c r="AO35" s="3"/>
      <c r="AR35" s="51"/>
      <c r="AS35" s="52"/>
      <c r="AT35" s="3"/>
      <c r="AU35" s="20"/>
      <c r="AW35" s="51"/>
      <c r="AX35" s="52"/>
      <c r="AY35" s="3"/>
    </row>
    <row r="36" spans="1:51" ht="30" customHeight="1">
      <c r="A36" s="16"/>
      <c r="B36" s="454" t="str">
        <f>B$35</f>
        <v>D</v>
      </c>
      <c r="C36" s="455"/>
      <c r="D36" s="453"/>
      <c r="E36" s="86" t="s">
        <v>407</v>
      </c>
      <c r="F36" s="277">
        <f>(K36*$C$5+N36*$C$6+Q36*$C$7+T36*$C$8)/($C$9)</f>
        <v>287.5</v>
      </c>
      <c r="G36" s="128">
        <f>IF(SUM(G37:G38)&lt;F36,SUM(G37:G38),F36)</f>
        <v>0</v>
      </c>
      <c r="H36" s="665"/>
      <c r="I36" s="72"/>
      <c r="J36" s="122"/>
      <c r="K36" s="278">
        <v>205</v>
      </c>
      <c r="L36" s="128">
        <f>IF(SUM(L37:L38)&lt;205,SUM(L37:L38),205)</f>
        <v>0</v>
      </c>
      <c r="M36" s="119"/>
      <c r="N36" s="279">
        <v>245</v>
      </c>
      <c r="O36" s="128">
        <f>IF(SUM(O37:O38)&lt;245,SUM(O37:O38),245)</f>
        <v>0</v>
      </c>
      <c r="P36" s="119"/>
      <c r="Q36" s="279">
        <v>340</v>
      </c>
      <c r="R36" s="128">
        <f>IF(SUM(R37:R38)&lt;340,SUM(R37:R38),340)</f>
        <v>0</v>
      </c>
      <c r="S36" s="119"/>
      <c r="T36" s="279">
        <v>360</v>
      </c>
      <c r="U36" s="128">
        <f>IF(SUM(U37:U38)&lt;360,SUM(U37:U38),360)</f>
        <v>0</v>
      </c>
      <c r="V36" s="59"/>
      <c r="W36" s="59"/>
      <c r="X36" s="45"/>
      <c r="Y36" s="132"/>
      <c r="Z36" s="4"/>
      <c r="AA36" s="21"/>
      <c r="AC36" s="45"/>
      <c r="AD36" s="125"/>
      <c r="AE36" s="4"/>
      <c r="AH36" s="45"/>
      <c r="AI36" s="125"/>
      <c r="AJ36" s="4"/>
      <c r="AK36" s="21"/>
      <c r="AM36" s="45"/>
      <c r="AN36" s="125"/>
      <c r="AO36" s="4"/>
      <c r="AR36" s="45"/>
      <c r="AS36" s="125"/>
      <c r="AT36" s="4"/>
      <c r="AU36" s="21"/>
      <c r="AW36" s="45"/>
      <c r="AX36" s="132"/>
      <c r="AY36" s="4"/>
    </row>
    <row r="37" spans="1:51" ht="30" customHeight="1" thickBot="1">
      <c r="A37" s="16"/>
      <c r="B37" s="64" t="s">
        <v>408</v>
      </c>
      <c r="C37" s="79">
        <v>1</v>
      </c>
      <c r="D37" s="101"/>
      <c r="E37" s="127" t="s">
        <v>289</v>
      </c>
      <c r="F37" s="101"/>
      <c r="G37" s="113">
        <f>(L37*$C$5+O37*$C$6+R37*$C$7+U37*$C$8)/$C$9</f>
        <v>0</v>
      </c>
      <c r="H37" s="665"/>
      <c r="I37" s="66"/>
      <c r="J37" s="116"/>
      <c r="K37" s="136">
        <v>175</v>
      </c>
      <c r="L37" s="280">
        <f>IF(ISNUMBER(D.1!B9),D.1!$B$9,0)</f>
        <v>0</v>
      </c>
      <c r="M37" s="114"/>
      <c r="N37" s="734">
        <v>195</v>
      </c>
      <c r="O37" s="280">
        <f>IF(ISNUMBER(D.1!B17),D.1!$B$17,0)</f>
        <v>0</v>
      </c>
      <c r="P37" s="114"/>
      <c r="Q37" s="734">
        <v>240</v>
      </c>
      <c r="R37" s="103">
        <f>IF(ISNUMBER(D.1!B25),D.1!$B$25,0)</f>
        <v>0</v>
      </c>
      <c r="S37" s="114"/>
      <c r="T37" s="734">
        <v>260</v>
      </c>
      <c r="U37" s="280">
        <f>IF(ISNUMBER(D.1!B33),D.1!$B$33,0)</f>
        <v>0</v>
      </c>
      <c r="V37" s="59"/>
      <c r="W37" s="59"/>
      <c r="X37" s="45"/>
      <c r="Y37" s="460"/>
      <c r="Z37" s="4"/>
      <c r="AA37" s="21"/>
      <c r="AC37" s="45"/>
      <c r="AD37" s="133"/>
      <c r="AE37" s="4"/>
      <c r="AH37" s="45"/>
      <c r="AI37" s="133"/>
      <c r="AJ37" s="4"/>
      <c r="AK37" s="21"/>
      <c r="AM37" s="45"/>
      <c r="AN37" s="133"/>
      <c r="AO37" s="4"/>
      <c r="AR37" s="45"/>
      <c r="AS37" s="133"/>
      <c r="AT37" s="4"/>
      <c r="AU37" s="21"/>
      <c r="AW37" s="45"/>
      <c r="AX37" s="460"/>
      <c r="AY37" s="4"/>
    </row>
    <row r="38" spans="1:51" ht="30" customHeight="1" thickBot="1">
      <c r="A38" s="16"/>
      <c r="B38" s="456" t="s">
        <v>408</v>
      </c>
      <c r="C38" s="457">
        <v>2</v>
      </c>
      <c r="D38" s="346"/>
      <c r="E38" s="126" t="s">
        <v>61</v>
      </c>
      <c r="F38" s="101"/>
      <c r="G38" s="112">
        <f>(L38*$C$5+O38*$C$6+R38*$C$7+U38*$C$8)/$C$9</f>
        <v>0</v>
      </c>
      <c r="H38" s="665"/>
      <c r="I38" s="66"/>
      <c r="J38" s="116"/>
      <c r="K38" s="129">
        <v>55</v>
      </c>
      <c r="L38" s="112">
        <f>IF(ISNUMBER(D.2!B5),D.2!B6,0)</f>
        <v>0</v>
      </c>
      <c r="M38" s="114"/>
      <c r="N38" s="129">
        <v>75</v>
      </c>
      <c r="O38" s="112">
        <f>IF(ISNUMBER(D.2!B11),D.2!B12,0)</f>
        <v>0</v>
      </c>
      <c r="P38" s="114"/>
      <c r="Q38" s="129">
        <v>130</v>
      </c>
      <c r="R38" s="112">
        <f>IF(ISNUMBER(D.2!B17),D.2!B18,0)</f>
        <v>0</v>
      </c>
      <c r="S38" s="114"/>
      <c r="T38" s="129">
        <v>120</v>
      </c>
      <c r="U38" s="112">
        <f>IF(ISNUMBER(D.2!B23),D.2!B24,0)</f>
        <v>0</v>
      </c>
      <c r="V38" s="59"/>
      <c r="W38" s="59"/>
      <c r="Y38" s="53"/>
      <c r="Z38" s="54"/>
      <c r="AD38" s="53"/>
      <c r="AE38" s="54"/>
      <c r="AI38" s="53"/>
      <c r="AJ38" s="54"/>
      <c r="AN38" s="53"/>
      <c r="AO38" s="54"/>
      <c r="AS38" s="53"/>
      <c r="AT38" s="54"/>
      <c r="AX38" s="53"/>
      <c r="AY38" s="54"/>
    </row>
    <row r="39" spans="1:51" ht="21" thickBot="1">
      <c r="B39" s="281"/>
      <c r="C39" s="282"/>
      <c r="D39" s="283"/>
      <c r="E39" s="137" t="s">
        <v>30</v>
      </c>
      <c r="F39" s="130">
        <v>1000</v>
      </c>
      <c r="G39" s="131">
        <f>IF(G13+G23+G31+G35&lt;1000,G13+G23+G31+G35,1000)</f>
        <v>0</v>
      </c>
      <c r="H39" s="668"/>
      <c r="I39" s="66"/>
      <c r="J39" s="66"/>
      <c r="K39" s="66"/>
      <c r="L39" s="66"/>
      <c r="M39" s="66"/>
      <c r="N39" s="66"/>
      <c r="O39" s="66"/>
      <c r="P39" s="66"/>
      <c r="Q39" s="66"/>
      <c r="R39" s="66"/>
      <c r="S39" s="66"/>
      <c r="T39" s="66"/>
      <c r="U39" s="66"/>
    </row>
    <row r="40" spans="1:51" ht="15.75">
      <c r="B40" s="56"/>
      <c r="C40" s="284"/>
      <c r="D40" s="285"/>
      <c r="E40" s="55"/>
      <c r="F40" s="56"/>
      <c r="I40" s="10"/>
      <c r="J40" s="10"/>
      <c r="K40" s="10"/>
      <c r="L40" s="10"/>
      <c r="M40" s="10"/>
      <c r="N40" s="10"/>
      <c r="O40" s="10"/>
      <c r="P40" s="10"/>
      <c r="Q40" s="10"/>
      <c r="R40" s="10"/>
      <c r="S40" s="10"/>
      <c r="T40" s="10"/>
      <c r="U40" s="10"/>
    </row>
    <row r="41" spans="1:51" ht="15.75">
      <c r="E41" s="55"/>
    </row>
    <row r="42" spans="1:51" ht="15.75">
      <c r="E42" s="55"/>
    </row>
    <row r="43" spans="1:51" ht="15.75">
      <c r="E43" s="55"/>
    </row>
    <row r="44" spans="1:51" ht="15.75">
      <c r="E44" s="55"/>
      <c r="G44" s="56" t="s">
        <v>58</v>
      </c>
    </row>
    <row r="45" spans="1:51" ht="15.75">
      <c r="E45" s="55"/>
    </row>
  </sheetData>
  <sheetProtection algorithmName="SHA-512" hashValue="FsHCksic5+vdj1Z0eybK7lSerOVZUZyscohLQxUM/1EfQtp5zOrMwoM6nnoLwrHOdg8sz4w+Hk3wDxhhpAtdqw==" saltValue="aDkzpThVme/2V1icbhvudg==" spinCount="100000" sheet="1" selectLockedCells="1"/>
  <mergeCells count="32">
    <mergeCell ref="N33:O33"/>
    <mergeCell ref="Q32:R33"/>
    <mergeCell ref="T32:U33"/>
    <mergeCell ref="W2:W8"/>
    <mergeCell ref="AV2:AV8"/>
    <mergeCell ref="AQ2:AQ8"/>
    <mergeCell ref="AB2:AB8"/>
    <mergeCell ref="AG2:AG8"/>
    <mergeCell ref="AL2:AL8"/>
    <mergeCell ref="Q28:R28"/>
    <mergeCell ref="T24:U27"/>
    <mergeCell ref="T28:U28"/>
    <mergeCell ref="Q24:R27"/>
    <mergeCell ref="Q19:R21"/>
    <mergeCell ref="B1:G1"/>
    <mergeCell ref="B11:D12"/>
    <mergeCell ref="E11:E12"/>
    <mergeCell ref="F9:G9"/>
    <mergeCell ref="C2:G2"/>
    <mergeCell ref="F10:G10"/>
    <mergeCell ref="F8:G8"/>
    <mergeCell ref="G24:G28"/>
    <mergeCell ref="K9:U9"/>
    <mergeCell ref="K10:L11"/>
    <mergeCell ref="N10:O11"/>
    <mergeCell ref="Q10:R11"/>
    <mergeCell ref="T10:U11"/>
    <mergeCell ref="N28:O28"/>
    <mergeCell ref="N24:O27"/>
    <mergeCell ref="T19:U21"/>
    <mergeCell ref="K28:L28"/>
    <mergeCell ref="K24:L27"/>
  </mergeCells>
  <phoneticPr fontId="15" type="noConversion"/>
  <conditionalFormatting sqref="A15:A21 A24:A30 Z24:AC30 AE24:AH30 AJ24:AM30 AO24:AR30 AT24:AW30 AY24:JC30 A36 A37:D37">
    <cfRule type="expression" dxfId="46" priority="42" stopIfTrue="1">
      <formula>#REF!="n"</formula>
    </cfRule>
  </conditionalFormatting>
  <conditionalFormatting sqref="A32:D33">
    <cfRule type="expression" dxfId="45" priority="4" stopIfTrue="1">
      <formula>#REF!="n"</formula>
    </cfRule>
  </conditionalFormatting>
  <conditionalFormatting sqref="B14:D21">
    <cfRule type="expression" dxfId="44" priority="12" stopIfTrue="1">
      <formula>#REF!="n"</formula>
    </cfRule>
  </conditionalFormatting>
  <conditionalFormatting sqref="B24:F28">
    <cfRule type="expression" dxfId="43" priority="6" stopIfTrue="1">
      <formula>#REF!="n"</formula>
    </cfRule>
  </conditionalFormatting>
  <conditionalFormatting sqref="C30:Y30">
    <cfRule type="expression" dxfId="42" priority="139" stopIfTrue="1">
      <formula>#REF!="n"</formula>
    </cfRule>
  </conditionalFormatting>
  <conditionalFormatting sqref="E15">
    <cfRule type="expression" dxfId="41" priority="11" stopIfTrue="1">
      <formula>#REF!="n"</formula>
    </cfRule>
  </conditionalFormatting>
  <conditionalFormatting sqref="E16:F21">
    <cfRule type="expression" dxfId="40" priority="26" stopIfTrue="1">
      <formula>#REF!="n"</formula>
    </cfRule>
  </conditionalFormatting>
  <conditionalFormatting sqref="F37:F38">
    <cfRule type="expression" dxfId="39" priority="160" stopIfTrue="1">
      <formula>#REF!="n"</formula>
    </cfRule>
  </conditionalFormatting>
  <conditionalFormatting sqref="F14:H15">
    <cfRule type="expression" dxfId="38" priority="7" stopIfTrue="1">
      <formula>#REF!="n"</formula>
    </cfRule>
  </conditionalFormatting>
  <conditionalFormatting sqref="F32:J33">
    <cfRule type="expression" dxfId="37" priority="3" stopIfTrue="1">
      <formula>#REF!="n"</formula>
    </cfRule>
  </conditionalFormatting>
  <conditionalFormatting sqref="G19:H21">
    <cfRule type="expression" dxfId="36" priority="32" stopIfTrue="1">
      <formula>#REF!="n"</formula>
    </cfRule>
  </conditionalFormatting>
  <conditionalFormatting sqref="G29:H29">
    <cfRule type="expression" dxfId="35" priority="5" stopIfTrue="1">
      <formula>#REF!="n"</formula>
    </cfRule>
  </conditionalFormatting>
  <conditionalFormatting sqref="I15">
    <cfRule type="expression" dxfId="34" priority="9" stopIfTrue="1">
      <formula>#REF!="n"</formula>
    </cfRule>
  </conditionalFormatting>
  <conditionalFormatting sqref="I37:J38 B38:D38">
    <cfRule type="expression" dxfId="33" priority="98" stopIfTrue="1">
      <formula>#REF!="n"</formula>
    </cfRule>
  </conditionalFormatting>
  <conditionalFormatting sqref="J14:J15 I16:J17">
    <cfRule type="expression" dxfId="32" priority="8" stopIfTrue="1">
      <formula>#REF!="n"</formula>
    </cfRule>
  </conditionalFormatting>
  <conditionalFormatting sqref="J18:J21">
    <cfRule type="expression" dxfId="31" priority="10" stopIfTrue="1">
      <formula>#REF!="n"</formula>
    </cfRule>
  </conditionalFormatting>
  <conditionalFormatting sqref="K24">
    <cfRule type="expression" dxfId="30" priority="14" stopIfTrue="1">
      <formula>#REF!="n"</formula>
    </cfRule>
  </conditionalFormatting>
  <conditionalFormatting sqref="L14:L21">
    <cfRule type="expression" dxfId="29" priority="20" stopIfTrue="1">
      <formula>#REF!="n"</formula>
    </cfRule>
  </conditionalFormatting>
  <conditionalFormatting sqref="L32:M33">
    <cfRule type="expression" dxfId="28" priority="2" stopIfTrue="1">
      <formula>#REF!="n"</formula>
    </cfRule>
  </conditionalFormatting>
  <conditionalFormatting sqref="L37:M38">
    <cfRule type="expression" dxfId="27" priority="97" stopIfTrue="1">
      <formula>#REF!="n"</formula>
    </cfRule>
  </conditionalFormatting>
  <conditionalFormatting sqref="M14 P14 S14">
    <cfRule type="expression" dxfId="26" priority="21" stopIfTrue="1">
      <formula>#REF!="n"</formula>
    </cfRule>
  </conditionalFormatting>
  <conditionalFormatting sqref="M24:M27 L28:M29">
    <cfRule type="expression" dxfId="25" priority="60" stopIfTrue="1">
      <formula>#REF!="n"</formula>
    </cfRule>
  </conditionalFormatting>
  <conditionalFormatting sqref="N24:N26">
    <cfRule type="expression" dxfId="24" priority="59" stopIfTrue="1">
      <formula>#REF!="n"</formula>
    </cfRule>
  </conditionalFormatting>
  <conditionalFormatting sqref="O14:O21">
    <cfRule type="expression" dxfId="23" priority="17" stopIfTrue="1">
      <formula>#REF!="n"</formula>
    </cfRule>
  </conditionalFormatting>
  <conditionalFormatting sqref="O29">
    <cfRule type="expression" dxfId="22" priority="63" stopIfTrue="1">
      <formula>#REF!="n"</formula>
    </cfRule>
  </conditionalFormatting>
  <conditionalFormatting sqref="O32">
    <cfRule type="expression" dxfId="21" priority="1" stopIfTrue="1">
      <formula>#REF!="n"</formula>
    </cfRule>
  </conditionalFormatting>
  <conditionalFormatting sqref="O37:P38">
    <cfRule type="expression" dxfId="20" priority="93" stopIfTrue="1">
      <formula>#REF!="n"</formula>
    </cfRule>
  </conditionalFormatting>
  <conditionalFormatting sqref="Q24:Q26">
    <cfRule type="expression" dxfId="19" priority="58" stopIfTrue="1">
      <formula>#REF!="n"</formula>
    </cfRule>
  </conditionalFormatting>
  <conditionalFormatting sqref="R14:R18">
    <cfRule type="expression" dxfId="18" priority="16" stopIfTrue="1">
      <formula>#REF!="n"</formula>
    </cfRule>
  </conditionalFormatting>
  <conditionalFormatting sqref="R29">
    <cfRule type="expression" dxfId="17" priority="62" stopIfTrue="1">
      <formula>#REF!="n"</formula>
    </cfRule>
  </conditionalFormatting>
  <conditionalFormatting sqref="R37:S38">
    <cfRule type="expression" dxfId="16" priority="92" stopIfTrue="1">
      <formula>#REF!="n"</formula>
    </cfRule>
  </conditionalFormatting>
  <conditionalFormatting sqref="T24:T26">
    <cfRule type="expression" dxfId="15" priority="57" stopIfTrue="1">
      <formula>#REF!="n"</formula>
    </cfRule>
  </conditionalFormatting>
  <conditionalFormatting sqref="U14:U18">
    <cfRule type="expression" dxfId="14" priority="15" stopIfTrue="1">
      <formula>#REF!="n"</formula>
    </cfRule>
  </conditionalFormatting>
  <conditionalFormatting sqref="U29">
    <cfRule type="expression" dxfId="13" priority="61" stopIfTrue="1">
      <formula>#REF!="n"</formula>
    </cfRule>
  </conditionalFormatting>
  <conditionalFormatting sqref="U37:U38">
    <cfRule type="expression" dxfId="12" priority="91" stopIfTrue="1">
      <formula>#REF!="n"</formula>
    </cfRule>
  </conditionalFormatting>
  <conditionalFormatting sqref="Z15:AA21 AE15:AF21 AJ15:AK21 AO15:AQ21 AT15:AV21 AY15:JC21 M16:M21 P16:P21 S16:S21 I24:J29 P24:P29 S24:S29 V24:X29 P32:P33 S32:S33 V32:X33 V36:X37">
    <cfRule type="expression" dxfId="11" priority="172" stopIfTrue="1">
      <formula>#REF!="n"</formula>
    </cfRule>
  </conditionalFormatting>
  <conditionalFormatting sqref="Z32:AC33 Z36:AC37">
    <cfRule type="expression" dxfId="10" priority="149" stopIfTrue="1">
      <formula>#REF!="n"</formula>
    </cfRule>
  </conditionalFormatting>
  <conditionalFormatting sqref="AD30">
    <cfRule type="expression" dxfId="9" priority="158" stopIfTrue="1">
      <formula>#REF!="n"</formula>
    </cfRule>
  </conditionalFormatting>
  <conditionalFormatting sqref="AE32:AH33 AE36:AH37">
    <cfRule type="expression" dxfId="8" priority="148" stopIfTrue="1">
      <formula>#REF!="n"</formula>
    </cfRule>
  </conditionalFormatting>
  <conditionalFormatting sqref="AI30">
    <cfRule type="expression" dxfId="7" priority="156" stopIfTrue="1">
      <formula>#REF!="n"</formula>
    </cfRule>
  </conditionalFormatting>
  <conditionalFormatting sqref="AJ32:AM33 AJ36:AM37">
    <cfRule type="expression" dxfId="6" priority="147" stopIfTrue="1">
      <formula>#REF!="n"</formula>
    </cfRule>
  </conditionalFormatting>
  <conditionalFormatting sqref="AN30">
    <cfRule type="expression" dxfId="5" priority="154" stopIfTrue="1">
      <formula>#REF!="n"</formula>
    </cfRule>
  </conditionalFormatting>
  <conditionalFormatting sqref="AO32:AR33 AO36:AR37">
    <cfRule type="expression" dxfId="4" priority="146" stopIfTrue="1">
      <formula>#REF!="n"</formula>
    </cfRule>
  </conditionalFormatting>
  <conditionalFormatting sqref="AS30">
    <cfRule type="expression" dxfId="3" priority="152" stopIfTrue="1">
      <formula>#REF!="n"</formula>
    </cfRule>
  </conditionalFormatting>
  <conditionalFormatting sqref="AT32:AW33 AT36:AW37">
    <cfRule type="expression" dxfId="2" priority="145" stopIfTrue="1">
      <formula>#REF!="n"</formula>
    </cfRule>
  </conditionalFormatting>
  <conditionalFormatting sqref="AX30">
    <cfRule type="expression" dxfId="1" priority="150" stopIfTrue="1">
      <formula>#REF!="n"</formula>
    </cfRule>
  </conditionalFormatting>
  <conditionalFormatting sqref="AY32:JC33 AY36:JC37">
    <cfRule type="expression" dxfId="0" priority="151" stopIfTrue="1">
      <formula>#REF!="n"</formula>
    </cfRule>
  </conditionalFormatting>
  <dataValidations disablePrompts="1" xWindow="583" yWindow="672" count="2">
    <dataValidation type="list" allowBlank="1" showInputMessage="1" showErrorMessage="1" prompt="Kein KGA Ziel erreicht (0 Punkte)_x000a_&gt;=850 KGA Ziel erreicht (50 Punkte)_x000a_&gt;=750 KGA Ziel erreicht (25 Punkte)_x000a_oder alt. Vergabeverf. (15 Punkte)" sqref="G14:H14" xr:uid="{00000000-0002-0000-0100-000000000000}">
      <formula1>$I$14:$I$18</formula1>
    </dataValidation>
    <dataValidation type="list" allowBlank="1" showInputMessage="1" showErrorMessage="1" errorTitle="Falscher Wert!" error="Bitte geben Sie die Zahl 0 oder 10 ein." sqref="G15:H15" xr:uid="{00000000-0002-0000-0100-000001000000}">
      <formula1>$J$14:$J$18</formula1>
    </dataValidation>
  </dataValidations>
  <printOptions horizontalCentered="1" verticalCentered="1"/>
  <pageMargins left="3.937007874015748E-2" right="3.937007874015748E-2" top="0.19685039370078741" bottom="3.937007874015748E-2" header="0.31496062992125984" footer="0.31496062992125984"/>
  <pageSetup paperSize="9" scale="4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6319A-3F3D-4FD8-BAE8-6C57BDCC3319}">
  <sheetPr>
    <pageSetUpPr fitToPage="1"/>
  </sheetPr>
  <dimension ref="A1:L52"/>
  <sheetViews>
    <sheetView showGridLines="0" topLeftCell="A10" zoomScale="50" zoomScaleNormal="85" workbookViewId="0">
      <selection activeCell="I23" sqref="I23:I24"/>
    </sheetView>
  </sheetViews>
  <sheetFormatPr baseColWidth="10" defaultColWidth="11.42578125" defaultRowHeight="12.75"/>
  <cols>
    <col min="1" max="1" width="86.42578125" style="165" customWidth="1"/>
    <col min="2" max="3" width="17.42578125" style="165" customWidth="1"/>
    <col min="4" max="4" width="17.85546875" style="144" customWidth="1"/>
    <col min="5" max="5" width="19.85546875" style="165" customWidth="1"/>
    <col min="6" max="6" width="14.5703125" style="239" customWidth="1"/>
    <col min="7" max="7" width="14.5703125" style="359" hidden="1" customWidth="1"/>
    <col min="8" max="8" width="14.5703125" style="165" hidden="1" customWidth="1"/>
    <col min="9" max="10" width="23.85546875" style="165" customWidth="1"/>
    <col min="11" max="11" width="19" style="165" hidden="1" customWidth="1"/>
    <col min="12" max="12" width="21.85546875" style="165" hidden="1" customWidth="1"/>
    <col min="13" max="16384" width="11.42578125" style="165"/>
  </cols>
  <sheetData>
    <row r="1" spans="1:12" ht="24.95" customHeight="1">
      <c r="A1" s="874" t="s">
        <v>293</v>
      </c>
      <c r="B1" s="874"/>
      <c r="C1" s="874"/>
      <c r="D1" s="874"/>
      <c r="E1" s="874"/>
      <c r="F1" s="874"/>
      <c r="G1" s="874"/>
    </row>
    <row r="2" spans="1:12" ht="7.5" customHeight="1">
      <c r="A2" s="176"/>
      <c r="B2" s="176"/>
      <c r="C2" s="176"/>
      <c r="D2" s="187"/>
    </row>
    <row r="3" spans="1:12" ht="7.5" customHeight="1" thickBot="1">
      <c r="A3" s="176"/>
      <c r="B3" s="176"/>
      <c r="C3" s="176"/>
      <c r="D3" s="187"/>
    </row>
    <row r="4" spans="1:12" ht="42.75" customHeight="1" thickBot="1">
      <c r="A4" s="550" t="s">
        <v>294</v>
      </c>
      <c r="B4" s="875" t="s">
        <v>295</v>
      </c>
      <c r="C4" s="872"/>
      <c r="D4" s="872"/>
      <c r="E4" s="872"/>
      <c r="F4" s="551" t="s">
        <v>63</v>
      </c>
      <c r="G4" s="165"/>
      <c r="I4" s="552" t="s">
        <v>24</v>
      </c>
      <c r="J4" s="359"/>
    </row>
    <row r="5" spans="1:12" s="144" customFormat="1" ht="24.95" customHeight="1">
      <c r="A5" s="876" t="s">
        <v>64</v>
      </c>
      <c r="B5" s="877"/>
      <c r="C5" s="877"/>
      <c r="D5" s="877"/>
      <c r="E5" s="878"/>
      <c r="F5" s="553"/>
      <c r="G5" s="144">
        <v>0</v>
      </c>
      <c r="H5" s="144">
        <v>10</v>
      </c>
      <c r="I5" s="879"/>
      <c r="J5" s="554"/>
    </row>
    <row r="6" spans="1:12" s="144" customFormat="1" ht="24.95" customHeight="1" thickBot="1">
      <c r="A6" s="555" t="s">
        <v>296</v>
      </c>
      <c r="B6" s="881">
        <v>10</v>
      </c>
      <c r="C6" s="882"/>
      <c r="D6" s="882"/>
      <c r="E6" s="883"/>
      <c r="F6" s="556"/>
      <c r="G6" s="360"/>
      <c r="H6" s="360"/>
      <c r="I6" s="880"/>
      <c r="J6" s="56"/>
      <c r="L6" s="144">
        <v>0</v>
      </c>
    </row>
    <row r="7" spans="1:12" s="144" customFormat="1" ht="33" customHeight="1">
      <c r="A7" s="557" t="s">
        <v>297</v>
      </c>
      <c r="B7" s="884" t="s">
        <v>298</v>
      </c>
      <c r="C7" s="884"/>
      <c r="D7" s="558" t="s">
        <v>299</v>
      </c>
      <c r="E7" s="559" t="s">
        <v>300</v>
      </c>
      <c r="F7" s="560"/>
      <c r="G7" s="360"/>
      <c r="H7" s="360"/>
      <c r="I7" s="885"/>
      <c r="J7" s="561"/>
      <c r="L7" s="144">
        <v>5</v>
      </c>
    </row>
    <row r="8" spans="1:12" s="144" customFormat="1" ht="49.7" customHeight="1">
      <c r="A8" s="886" t="s">
        <v>416</v>
      </c>
      <c r="B8" s="888" t="s">
        <v>413</v>
      </c>
      <c r="C8" s="888"/>
      <c r="D8" s="890" t="s">
        <v>414</v>
      </c>
      <c r="E8" s="892" t="s">
        <v>415</v>
      </c>
      <c r="F8" s="894"/>
      <c r="G8" s="360">
        <v>0</v>
      </c>
      <c r="H8" s="360"/>
      <c r="I8" s="885"/>
      <c r="J8" s="561"/>
      <c r="L8" s="144">
        <v>10</v>
      </c>
    </row>
    <row r="9" spans="1:12" s="144" customFormat="1" ht="38.25" customHeight="1">
      <c r="A9" s="886"/>
      <c r="B9" s="888"/>
      <c r="C9" s="888"/>
      <c r="D9" s="890"/>
      <c r="E9" s="892"/>
      <c r="F9" s="895"/>
      <c r="G9" s="360">
        <v>15</v>
      </c>
      <c r="H9" s="360">
        <v>0</v>
      </c>
      <c r="I9" s="885"/>
      <c r="J9" s="561"/>
      <c r="L9" s="144">
        <v>15</v>
      </c>
    </row>
    <row r="10" spans="1:12" s="144" customFormat="1" ht="157.5" customHeight="1" thickBot="1">
      <c r="A10" s="887"/>
      <c r="B10" s="889"/>
      <c r="C10" s="889"/>
      <c r="D10" s="891"/>
      <c r="E10" s="893"/>
      <c r="F10" s="896"/>
      <c r="G10" s="360">
        <v>45</v>
      </c>
      <c r="H10" s="360">
        <v>10</v>
      </c>
      <c r="I10" s="885"/>
      <c r="J10" s="561"/>
      <c r="L10" s="144">
        <v>20</v>
      </c>
    </row>
    <row r="11" spans="1:12" s="144" customFormat="1" ht="36.75" customHeight="1">
      <c r="A11" s="876" t="s">
        <v>301</v>
      </c>
      <c r="B11" s="877"/>
      <c r="C11" s="877"/>
      <c r="D11" s="877"/>
      <c r="E11" s="878"/>
      <c r="F11" s="563"/>
      <c r="G11" s="360">
        <v>70</v>
      </c>
      <c r="H11" s="360">
        <v>20</v>
      </c>
      <c r="I11" s="897"/>
      <c r="J11" s="41"/>
      <c r="L11" s="144">
        <v>25</v>
      </c>
    </row>
    <row r="12" spans="1:12" s="144" customFormat="1" ht="42.75" customHeight="1" thickBot="1">
      <c r="A12" s="564" t="s">
        <v>302</v>
      </c>
      <c r="B12" s="889">
        <v>10</v>
      </c>
      <c r="C12" s="889"/>
      <c r="D12" s="889"/>
      <c r="E12" s="898"/>
      <c r="F12" s="541"/>
      <c r="G12" s="360">
        <v>10</v>
      </c>
      <c r="H12" s="360">
        <v>30</v>
      </c>
      <c r="I12" s="897"/>
      <c r="J12" s="41"/>
      <c r="L12" s="144">
        <v>30</v>
      </c>
    </row>
    <row r="13" spans="1:12" ht="16.5" thickBot="1">
      <c r="A13" s="565" t="s">
        <v>31</v>
      </c>
      <c r="B13" s="566"/>
      <c r="C13" s="566"/>
      <c r="D13" s="567"/>
      <c r="E13" s="567"/>
      <c r="F13" s="568">
        <f>IF(SUM(F5:F12)&lt;90,SUM(F5:F12),90)</f>
        <v>0</v>
      </c>
      <c r="G13" s="165"/>
      <c r="I13" s="491"/>
      <c r="J13" s="41"/>
      <c r="L13" s="144">
        <v>35</v>
      </c>
    </row>
    <row r="14" spans="1:12">
      <c r="A14" s="361"/>
      <c r="L14" s="144">
        <v>40</v>
      </c>
    </row>
    <row r="15" spans="1:12" ht="16.5" thickBot="1">
      <c r="A15" s="166"/>
      <c r="B15" s="166"/>
      <c r="C15" s="187"/>
      <c r="D15" s="187"/>
      <c r="E15" s="187"/>
      <c r="F15" s="187"/>
      <c r="G15" s="188"/>
      <c r="H15" s="543"/>
      <c r="I15" s="166"/>
      <c r="J15" s="166"/>
      <c r="L15" s="144">
        <v>45</v>
      </c>
    </row>
    <row r="16" spans="1:12" ht="45.75" customHeight="1" thickBot="1">
      <c r="A16" s="550" t="s">
        <v>303</v>
      </c>
      <c r="B16" s="871" t="s">
        <v>76</v>
      </c>
      <c r="C16" s="872"/>
      <c r="D16" s="873"/>
      <c r="E16" s="569" t="s">
        <v>304</v>
      </c>
      <c r="F16" s="570" t="s">
        <v>63</v>
      </c>
      <c r="G16" s="166"/>
      <c r="H16" s="166"/>
      <c r="I16" s="562" t="s">
        <v>24</v>
      </c>
      <c r="J16" s="543"/>
      <c r="L16" s="165">
        <v>50</v>
      </c>
    </row>
    <row r="17" spans="1:12" ht="30" customHeight="1">
      <c r="A17" s="836" t="s">
        <v>223</v>
      </c>
      <c r="B17" s="862" t="s">
        <v>305</v>
      </c>
      <c r="C17" s="862"/>
      <c r="D17" s="862"/>
      <c r="E17" s="863" t="s">
        <v>225</v>
      </c>
      <c r="F17" s="865"/>
      <c r="G17" s="166"/>
      <c r="H17" s="166"/>
      <c r="I17" s="492"/>
      <c r="J17" s="561"/>
      <c r="L17" s="165">
        <v>60</v>
      </c>
    </row>
    <row r="18" spans="1:12" ht="38.25" customHeight="1">
      <c r="A18" s="837"/>
      <c r="B18" s="867" t="s">
        <v>224</v>
      </c>
      <c r="C18" s="867"/>
      <c r="D18" s="867"/>
      <c r="E18" s="864"/>
      <c r="F18" s="865"/>
      <c r="G18" s="166"/>
      <c r="H18" s="166"/>
      <c r="I18" s="492"/>
      <c r="J18" s="561"/>
      <c r="L18" s="165">
        <v>70</v>
      </c>
    </row>
    <row r="19" spans="1:12" ht="30" customHeight="1">
      <c r="A19" s="837"/>
      <c r="B19" s="867" t="s">
        <v>226</v>
      </c>
      <c r="C19" s="867"/>
      <c r="D19" s="867"/>
      <c r="E19" s="864"/>
      <c r="F19" s="865"/>
      <c r="G19" s="166"/>
      <c r="H19" s="166"/>
      <c r="I19" s="492"/>
      <c r="J19" s="561"/>
    </row>
    <row r="20" spans="1:12" ht="30" customHeight="1">
      <c r="A20" s="837"/>
      <c r="B20" s="868" t="s">
        <v>261</v>
      </c>
      <c r="C20" s="868"/>
      <c r="D20" s="868"/>
      <c r="E20" s="864"/>
      <c r="F20" s="866"/>
      <c r="G20" s="166"/>
      <c r="H20" s="166"/>
      <c r="I20" s="492"/>
      <c r="J20" s="561"/>
    </row>
    <row r="21" spans="1:12" ht="30" customHeight="1">
      <c r="A21" s="837"/>
      <c r="B21" s="841" t="s">
        <v>227</v>
      </c>
      <c r="C21" s="841"/>
      <c r="D21" s="841"/>
      <c r="E21" s="864">
        <v>10</v>
      </c>
      <c r="F21" s="869"/>
      <c r="G21" s="166">
        <v>0</v>
      </c>
      <c r="H21" s="166"/>
      <c r="I21" s="492"/>
      <c r="J21" s="561"/>
    </row>
    <row r="22" spans="1:12" ht="30" customHeight="1">
      <c r="A22" s="837"/>
      <c r="B22" s="827" t="s">
        <v>228</v>
      </c>
      <c r="C22" s="827"/>
      <c r="D22" s="827"/>
      <c r="E22" s="864"/>
      <c r="F22" s="870"/>
      <c r="G22" s="166">
        <v>10</v>
      </c>
      <c r="H22" s="166"/>
      <c r="I22" s="492"/>
      <c r="J22" s="561"/>
    </row>
    <row r="23" spans="1:12" ht="30" customHeight="1">
      <c r="A23" s="837"/>
      <c r="B23" s="841" t="s">
        <v>229</v>
      </c>
      <c r="C23" s="841"/>
      <c r="D23" s="841"/>
      <c r="E23" s="855">
        <v>5</v>
      </c>
      <c r="F23" s="573"/>
      <c r="G23" s="166">
        <v>0</v>
      </c>
      <c r="H23" s="166"/>
      <c r="I23" s="492"/>
      <c r="J23" s="561"/>
    </row>
    <row r="24" spans="1:12" ht="30" customHeight="1">
      <c r="A24" s="837"/>
      <c r="B24" s="827" t="s">
        <v>230</v>
      </c>
      <c r="C24" s="827"/>
      <c r="D24" s="827"/>
      <c r="E24" s="856"/>
      <c r="F24" s="233"/>
      <c r="G24" s="166">
        <v>5</v>
      </c>
      <c r="H24" s="166"/>
      <c r="I24" s="492"/>
      <c r="J24" s="561"/>
    </row>
    <row r="25" spans="1:12" ht="30" customHeight="1" thickBot="1">
      <c r="A25" s="838"/>
      <c r="B25" s="857" t="s">
        <v>231</v>
      </c>
      <c r="C25" s="857"/>
      <c r="D25" s="857"/>
      <c r="E25" s="363">
        <v>5</v>
      </c>
      <c r="F25" s="237"/>
      <c r="G25" s="166">
        <v>0</v>
      </c>
      <c r="H25" s="166"/>
      <c r="I25" s="492"/>
      <c r="J25" s="561"/>
    </row>
    <row r="26" spans="1:12" ht="24" customHeight="1">
      <c r="A26" s="836" t="s">
        <v>253</v>
      </c>
      <c r="B26" s="858" t="s">
        <v>252</v>
      </c>
      <c r="C26" s="858"/>
      <c r="D26" s="858"/>
      <c r="E26" s="860">
        <v>5</v>
      </c>
      <c r="F26" s="846"/>
      <c r="G26" s="478">
        <v>0</v>
      </c>
      <c r="H26" s="166"/>
      <c r="I26" s="497"/>
      <c r="J26" s="574"/>
    </row>
    <row r="27" spans="1:12" ht="24" customHeight="1" thickBot="1">
      <c r="A27" s="838"/>
      <c r="B27" s="859"/>
      <c r="C27" s="859"/>
      <c r="D27" s="859"/>
      <c r="E27" s="861"/>
      <c r="F27" s="847"/>
      <c r="G27" s="478">
        <v>5</v>
      </c>
      <c r="H27" s="166"/>
      <c r="I27" s="497"/>
      <c r="J27" s="574"/>
    </row>
    <row r="28" spans="1:12" ht="27" customHeight="1">
      <c r="A28" s="820" t="s">
        <v>254</v>
      </c>
      <c r="B28" s="848" t="s">
        <v>306</v>
      </c>
      <c r="C28" s="848"/>
      <c r="D28" s="848"/>
      <c r="E28" s="850">
        <v>10</v>
      </c>
      <c r="F28" s="846"/>
      <c r="G28" s="478">
        <v>0</v>
      </c>
      <c r="H28" s="166"/>
      <c r="I28" s="497"/>
      <c r="J28" s="574"/>
    </row>
    <row r="29" spans="1:12" ht="27" customHeight="1" thickBot="1">
      <c r="A29" s="821"/>
      <c r="B29" s="849"/>
      <c r="C29" s="849"/>
      <c r="D29" s="849"/>
      <c r="E29" s="851"/>
      <c r="F29" s="847"/>
      <c r="G29" s="477">
        <v>10</v>
      </c>
      <c r="H29" s="166"/>
      <c r="I29" s="497"/>
      <c r="J29" s="574"/>
    </row>
    <row r="30" spans="1:12" ht="27" customHeight="1" thickBot="1">
      <c r="A30" s="575" t="s">
        <v>307</v>
      </c>
      <c r="B30" s="852" t="s">
        <v>308</v>
      </c>
      <c r="C30" s="853"/>
      <c r="D30" s="854"/>
      <c r="E30" s="576">
        <v>5</v>
      </c>
      <c r="F30" s="237"/>
      <c r="G30" s="477"/>
      <c r="H30" s="166"/>
      <c r="I30" s="497"/>
      <c r="J30" s="574"/>
    </row>
    <row r="31" spans="1:12" ht="42" customHeight="1">
      <c r="A31" s="836" t="s">
        <v>232</v>
      </c>
      <c r="B31" s="839" t="s">
        <v>233</v>
      </c>
      <c r="C31" s="839"/>
      <c r="D31" s="839"/>
      <c r="E31" s="571">
        <v>5</v>
      </c>
      <c r="F31" s="237"/>
      <c r="G31" s="166">
        <v>5</v>
      </c>
      <c r="H31" s="166"/>
      <c r="I31" s="492"/>
      <c r="J31" s="561"/>
    </row>
    <row r="32" spans="1:12" ht="42" customHeight="1">
      <c r="A32" s="837"/>
      <c r="B32" s="840" t="s">
        <v>234</v>
      </c>
      <c r="C32" s="840"/>
      <c r="D32" s="840"/>
      <c r="E32" s="222">
        <v>5</v>
      </c>
      <c r="F32" s="547"/>
      <c r="G32" s="166">
        <v>0</v>
      </c>
      <c r="H32" s="166"/>
      <c r="I32" s="492"/>
      <c r="J32" s="561"/>
    </row>
    <row r="33" spans="1:12" ht="42" customHeight="1">
      <c r="A33" s="837"/>
      <c r="B33" s="841" t="s">
        <v>235</v>
      </c>
      <c r="C33" s="841"/>
      <c r="D33" s="841"/>
      <c r="E33" s="222">
        <v>3</v>
      </c>
      <c r="F33" s="237"/>
      <c r="G33" s="166">
        <v>3</v>
      </c>
      <c r="H33" s="166"/>
      <c r="I33" s="492"/>
      <c r="J33" s="561"/>
    </row>
    <row r="34" spans="1:12" ht="42" customHeight="1" thickBot="1">
      <c r="A34" s="838"/>
      <c r="B34" s="842" t="s">
        <v>251</v>
      </c>
      <c r="C34" s="842"/>
      <c r="D34" s="842"/>
      <c r="E34" s="684">
        <v>3</v>
      </c>
      <c r="F34" s="233"/>
      <c r="G34" s="166"/>
      <c r="H34" s="166"/>
      <c r="I34" s="492"/>
      <c r="J34" s="561"/>
    </row>
    <row r="35" spans="1:12" ht="45.75" customHeight="1">
      <c r="A35" s="843" t="s">
        <v>309</v>
      </c>
      <c r="B35" s="825" t="s">
        <v>310</v>
      </c>
      <c r="C35" s="822"/>
      <c r="D35" s="822"/>
      <c r="E35" s="830" t="s">
        <v>274</v>
      </c>
      <c r="F35" s="831"/>
      <c r="G35" s="360">
        <v>0</v>
      </c>
      <c r="H35" s="360">
        <v>0</v>
      </c>
      <c r="I35" s="492"/>
      <c r="J35" s="561"/>
    </row>
    <row r="36" spans="1:12" ht="37.5" customHeight="1" thickBot="1">
      <c r="A36" s="844"/>
      <c r="B36" s="834"/>
      <c r="C36" s="835"/>
      <c r="D36" s="835"/>
      <c r="E36" s="832"/>
      <c r="F36" s="833"/>
      <c r="G36" s="360">
        <v>8</v>
      </c>
      <c r="H36" s="360">
        <v>4</v>
      </c>
      <c r="I36" s="492"/>
      <c r="J36" s="561"/>
    </row>
    <row r="37" spans="1:12" ht="37.5" customHeight="1">
      <c r="A37" s="844"/>
      <c r="B37" s="825" t="s">
        <v>417</v>
      </c>
      <c r="C37" s="822"/>
      <c r="D37" s="822"/>
      <c r="E37" s="685">
        <v>8</v>
      </c>
      <c r="F37" s="686"/>
      <c r="G37" s="360">
        <v>0</v>
      </c>
      <c r="H37" s="360">
        <v>0</v>
      </c>
      <c r="I37" s="492"/>
      <c r="J37" s="561"/>
    </row>
    <row r="38" spans="1:12" ht="37.5" customHeight="1">
      <c r="A38" s="844"/>
      <c r="B38" s="826" t="s">
        <v>257</v>
      </c>
      <c r="C38" s="827"/>
      <c r="D38" s="827"/>
      <c r="E38" s="577">
        <v>3</v>
      </c>
      <c r="F38" s="540"/>
      <c r="G38" s="360">
        <v>3</v>
      </c>
      <c r="H38" s="360">
        <v>5</v>
      </c>
      <c r="I38" s="492"/>
      <c r="J38" s="561"/>
    </row>
    <row r="39" spans="1:12" ht="37.5" customHeight="1">
      <c r="A39" s="844"/>
      <c r="B39" s="828" t="s">
        <v>275</v>
      </c>
      <c r="C39" s="829"/>
      <c r="D39" s="829"/>
      <c r="E39" s="577">
        <v>4</v>
      </c>
      <c r="F39" s="223"/>
      <c r="G39" s="360"/>
      <c r="H39" s="360"/>
      <c r="I39" s="492"/>
      <c r="J39" s="561"/>
    </row>
    <row r="40" spans="1:12" ht="96.75" customHeight="1" thickBot="1">
      <c r="A40" s="845"/>
      <c r="B40" s="834" t="s">
        <v>276</v>
      </c>
      <c r="C40" s="835"/>
      <c r="D40" s="835"/>
      <c r="E40" s="578">
        <v>5</v>
      </c>
      <c r="F40" s="687"/>
      <c r="G40" s="140"/>
      <c r="H40" s="140"/>
      <c r="I40" s="492"/>
      <c r="J40" s="561"/>
    </row>
    <row r="41" spans="1:12" ht="16.5" thickBot="1">
      <c r="A41" s="815" t="s">
        <v>31</v>
      </c>
      <c r="B41" s="816"/>
      <c r="C41" s="816"/>
      <c r="D41" s="368"/>
      <c r="E41" s="340"/>
      <c r="F41" s="579">
        <f>IF(SUM(F17:F40)&lt;65, SUM(F17:F40),65)</f>
        <v>0</v>
      </c>
      <c r="G41" s="189"/>
      <c r="H41" s="580"/>
      <c r="I41" s="189"/>
      <c r="J41" s="189"/>
    </row>
    <row r="43" spans="1:12" ht="15.75" customHeight="1" thickBot="1">
      <c r="A43" s="477"/>
      <c r="B43" s="477"/>
      <c r="C43" s="479"/>
      <c r="D43" s="477"/>
      <c r="E43" s="477"/>
      <c r="F43" s="581"/>
      <c r="G43" s="477"/>
      <c r="I43" s="477"/>
      <c r="J43" s="477"/>
      <c r="K43" s="477" t="s">
        <v>311</v>
      </c>
    </row>
    <row r="44" spans="1:12" ht="32.25" thickBot="1">
      <c r="A44" s="582" t="s">
        <v>312</v>
      </c>
      <c r="B44" s="817" t="s">
        <v>76</v>
      </c>
      <c r="C44" s="818"/>
      <c r="D44" s="819"/>
      <c r="E44" s="583" t="s">
        <v>313</v>
      </c>
      <c r="F44" s="570" t="s">
        <v>63</v>
      </c>
      <c r="G44" s="166">
        <v>0</v>
      </c>
      <c r="I44" s="562" t="s">
        <v>24</v>
      </c>
      <c r="J44" s="543"/>
      <c r="K44" s="520" t="s">
        <v>279</v>
      </c>
      <c r="L44" s="521">
        <v>1000</v>
      </c>
    </row>
    <row r="45" spans="1:12" ht="111.75" customHeight="1" thickBot="1">
      <c r="A45" s="820" t="s">
        <v>60</v>
      </c>
      <c r="B45" s="822" t="s">
        <v>277</v>
      </c>
      <c r="C45" s="822"/>
      <c r="D45" s="822"/>
      <c r="E45" s="545">
        <v>10</v>
      </c>
      <c r="F45" s="584"/>
      <c r="G45" s="166">
        <v>10</v>
      </c>
      <c r="I45" s="492"/>
      <c r="J45" s="561"/>
      <c r="K45" s="522" t="s">
        <v>280</v>
      </c>
      <c r="L45" s="523">
        <v>200</v>
      </c>
    </row>
    <row r="46" spans="1:12" ht="111.75" customHeight="1" thickBot="1">
      <c r="A46" s="821"/>
      <c r="B46" s="823" t="s">
        <v>278</v>
      </c>
      <c r="C46" s="823"/>
      <c r="D46" s="823"/>
      <c r="E46" s="546">
        <v>5</v>
      </c>
      <c r="F46" s="585"/>
      <c r="G46" s="166">
        <v>0</v>
      </c>
      <c r="I46" s="492"/>
      <c r="J46" s="561"/>
      <c r="K46" s="524" t="s">
        <v>281</v>
      </c>
      <c r="L46" s="525">
        <f>L45/L44</f>
        <v>0.2</v>
      </c>
    </row>
    <row r="47" spans="1:12" ht="53.25" customHeight="1">
      <c r="A47" s="820" t="s">
        <v>314</v>
      </c>
      <c r="B47" s="824" t="s">
        <v>255</v>
      </c>
      <c r="C47" s="824"/>
      <c r="D47" s="824"/>
      <c r="E47" s="586">
        <v>10</v>
      </c>
      <c r="F47" s="584"/>
      <c r="G47" s="166">
        <v>5</v>
      </c>
      <c r="I47" s="492"/>
      <c r="J47" s="561"/>
      <c r="K47" s="190"/>
      <c r="L47" s="190"/>
    </row>
    <row r="48" spans="1:12" ht="53.25" customHeight="1" thickBot="1">
      <c r="A48" s="821"/>
      <c r="B48" s="823" t="s">
        <v>256</v>
      </c>
      <c r="C48" s="823"/>
      <c r="D48" s="823"/>
      <c r="E48" s="587">
        <v>5</v>
      </c>
      <c r="F48" s="588"/>
      <c r="G48" s="166"/>
      <c r="I48" s="492"/>
      <c r="J48" s="561"/>
      <c r="K48" s="190"/>
      <c r="L48" s="190"/>
    </row>
    <row r="49" spans="1:12" ht="16.5" thickBot="1">
      <c r="A49" s="812" t="s">
        <v>31</v>
      </c>
      <c r="B49" s="813"/>
      <c r="C49" s="813"/>
      <c r="D49" s="813"/>
      <c r="E49" s="814"/>
      <c r="F49" s="579">
        <f>IF(SUM(F45:F48)&lt;30, SUM(F45:F48),30)</f>
        <v>0</v>
      </c>
      <c r="G49" s="189"/>
      <c r="H49" s="580"/>
      <c r="I49" s="189"/>
      <c r="J49" s="189"/>
      <c r="K49" s="189"/>
      <c r="L49" s="189"/>
    </row>
    <row r="51" spans="1:12" ht="13.5" thickBot="1"/>
    <row r="52" spans="1:12" ht="16.5" thickBot="1">
      <c r="A52" s="589" t="s">
        <v>315</v>
      </c>
      <c r="B52" s="590"/>
      <c r="C52" s="590"/>
      <c r="D52" s="591"/>
      <c r="E52" s="592" t="s">
        <v>316</v>
      </c>
      <c r="F52" s="593">
        <f>IF(SUM(F49+F41+F13)&lt;175, SUM(F13+F41+F49),175)</f>
        <v>0</v>
      </c>
    </row>
  </sheetData>
  <sheetProtection algorithmName="SHA-512" hashValue="5gICkGKmtE8yTApNAf/I2dP8WiDxIZP7ITBvoddlrxn3nPowIgJmDNHIFXb36sRTOtYSCJQKFWvxIO2J9DFYTw==" saltValue="ze6TL/vK1Rwh8JDCGPU7jw==" spinCount="100000" sheet="1" selectLockedCells="1"/>
  <mergeCells count="61">
    <mergeCell ref="B16:D16"/>
    <mergeCell ref="A1:G1"/>
    <mergeCell ref="B4:E4"/>
    <mergeCell ref="A5:E5"/>
    <mergeCell ref="I5:I6"/>
    <mergeCell ref="B6:E6"/>
    <mergeCell ref="B7:C7"/>
    <mergeCell ref="I7:I10"/>
    <mergeCell ref="A8:A10"/>
    <mergeCell ref="B8:C10"/>
    <mergeCell ref="D8:D10"/>
    <mergeCell ref="E8:E10"/>
    <mergeCell ref="F8:F10"/>
    <mergeCell ref="A11:E11"/>
    <mergeCell ref="I11:I12"/>
    <mergeCell ref="B12:E12"/>
    <mergeCell ref="A17:A25"/>
    <mergeCell ref="B17:D17"/>
    <mergeCell ref="E17:E20"/>
    <mergeCell ref="F17:F20"/>
    <mergeCell ref="B18:D18"/>
    <mergeCell ref="B19:D19"/>
    <mergeCell ref="B20:D20"/>
    <mergeCell ref="B21:D21"/>
    <mergeCell ref="E21:E22"/>
    <mergeCell ref="F21:F22"/>
    <mergeCell ref="B22:D22"/>
    <mergeCell ref="B23:D23"/>
    <mergeCell ref="E23:E24"/>
    <mergeCell ref="B24:D24"/>
    <mergeCell ref="B25:D25"/>
    <mergeCell ref="A35:A40"/>
    <mergeCell ref="B35:D36"/>
    <mergeCell ref="F26:F27"/>
    <mergeCell ref="A28:A29"/>
    <mergeCell ref="B28:D29"/>
    <mergeCell ref="E28:E29"/>
    <mergeCell ref="F28:F29"/>
    <mergeCell ref="A26:A27"/>
    <mergeCell ref="B30:D30"/>
    <mergeCell ref="B26:D27"/>
    <mergeCell ref="E26:E27"/>
    <mergeCell ref="A31:A34"/>
    <mergeCell ref="B31:D31"/>
    <mergeCell ref="B32:D32"/>
    <mergeCell ref="B33:D33"/>
    <mergeCell ref="B34:D34"/>
    <mergeCell ref="B37:D37"/>
    <mergeCell ref="B38:D38"/>
    <mergeCell ref="B39:D39"/>
    <mergeCell ref="E35:F36"/>
    <mergeCell ref="B40:D40"/>
    <mergeCell ref="A49:E49"/>
    <mergeCell ref="A41:C41"/>
    <mergeCell ref="B44:D44"/>
    <mergeCell ref="A45:A46"/>
    <mergeCell ref="B45:D45"/>
    <mergeCell ref="B46:D46"/>
    <mergeCell ref="A47:A48"/>
    <mergeCell ref="B47:D47"/>
    <mergeCell ref="B48:D48"/>
  </mergeCells>
  <dataValidations count="17">
    <dataValidation type="list" allowBlank="1" showInputMessage="1" showErrorMessage="1" errorTitle="Falscher Wert!" error="Bitte geben Sie die Zahl 0 oder 5 ein." sqref="F30" xr:uid="{279EC8FA-6EC3-4952-B219-4FC174679A25}">
      <formula1>$G$30:$G$31</formula1>
    </dataValidation>
    <dataValidation type="list" allowBlank="1" showInputMessage="1" showErrorMessage="1" errorTitle="Falscher Wert!" error="Bitte geben Sie die Zahl 0,10,25 oder 35 ein." sqref="F12" xr:uid="{30EEC5EE-0E95-4472-9DCF-A0BC7521D4BF}">
      <formula1>$H$9:$H$10</formula1>
    </dataValidation>
    <dataValidation type="list" allowBlank="1" showInputMessage="1" showErrorMessage="1" errorTitle="Falscher Wert!" error="Bitte geben Sie die Zahl 0 oder 5 ein." sqref="F47 F45" xr:uid="{F697C094-D18F-458B-B781-55012F99BB12}">
      <formula1>$G$44:$G$45</formula1>
    </dataValidation>
    <dataValidation type="list" allowBlank="1" showInputMessage="1" showErrorMessage="1" errorTitle="Falscher Wert!" error="Bitte geben Sie die Zahl 0 oder 5 ein." sqref="F48 F46" xr:uid="{CDCAA6BC-D090-403F-B07F-6BAF297254EC}">
      <formula1>$G$46:$G$47</formula1>
    </dataValidation>
    <dataValidation type="list" allowBlank="1" showInputMessage="1" showErrorMessage="1" errorTitle="Falscher Wert!" error="Bitte geben Sie die Zahl 0 oder 5 ein." sqref="F39" xr:uid="{D8AEF8B6-5326-476D-9DD6-1DB1F83A2510}">
      <formula1>$H$35:$H$36</formula1>
    </dataValidation>
    <dataValidation type="list" allowBlank="1" showInputMessage="1" showErrorMessage="1" sqref="F8:F10" xr:uid="{71377840-FED2-4CE2-9E22-22C0237721D0}">
      <formula1>$L$6:$L$18</formula1>
    </dataValidation>
    <dataValidation type="list" allowBlank="1" showInputMessage="1" showErrorMessage="1" errorTitle="Falscher Wert!" error="Bitte geben Sie die Zahl 0 oder 20 ein." sqref="F21:F22" xr:uid="{BACEDC84-50FB-43C1-87BF-CA70DDB66372}">
      <formula1>$G$21:$G$22</formula1>
    </dataValidation>
    <dataValidation type="list" allowBlank="1" showInputMessage="1" showErrorMessage="1" errorTitle="Falscher Wert!" error="Bitte geben Sie die Zahl 0 oder 10 ein." sqref="F24" xr:uid="{1ACBAEB9-5015-4561-9AFF-E94CB873995D}">
      <formula1>$G$23:$G$24</formula1>
    </dataValidation>
    <dataValidation type="list" allowBlank="1" showInputMessage="1" showErrorMessage="1" errorTitle="Falscher Wert!" error="Bitte geben Sie die Zahl 0 oder 5 ein." sqref="F33:F34" xr:uid="{F87B3CBF-8C56-4EE4-8158-A7F23E733E68}">
      <formula1>$G$32:$G$33</formula1>
    </dataValidation>
    <dataValidation type="list" allowBlank="1" showInputMessage="1" showErrorMessage="1" errorTitle="Falscher Wert!" error="Bitte geben Sie die Zahl 0 oder 5 ein." sqref="F28:F29" xr:uid="{A5F4FE8D-D9D2-479D-AA28-3C3E3D2E0F5D}">
      <formula1>$G$28:$G$29</formula1>
    </dataValidation>
    <dataValidation type="list" allowBlank="1" showInputMessage="1" showErrorMessage="1" errorTitle="Falscher Wert!" error="Bitte geben Sie die Zahl 0 oder 5 ein." sqref="F25:F27 F31:F32" xr:uid="{886FA151-7AAE-43B6-A3F4-DE4C38714EE4}">
      <formula1>$G$26:$G$27</formula1>
    </dataValidation>
    <dataValidation type="list" allowBlank="1" showInputMessage="1" showErrorMessage="1" sqref="F6" xr:uid="{D0C2A4C7-0EF8-43B8-A91C-4B6DCEAB887A}">
      <formula1>$G$5:$H$5</formula1>
    </dataValidation>
    <dataValidation allowBlank="1" showInputMessage="1" showErrorMessage="1" errorTitle="Falscher Wert!" error="Bitte geben Sie die Zahl 0 ein." sqref="F17:F20" xr:uid="{0842C89D-999C-47F2-A568-46C0B91B156D}"/>
    <dataValidation allowBlank="1" showInputMessage="1" showErrorMessage="1" errorTitle="Falscher Wert!" error="Bitte geben Sie die Zahl 0,5 oder 10 ein." sqref="F23" xr:uid="{5386AC73-E848-4283-84D0-E23B12714C4D}"/>
    <dataValidation type="list" allowBlank="1" showInputMessage="1" showErrorMessage="1" errorTitle="Falscher Wert!" error="Bitte geben Sie die Zahl 0 oder 5 ein." sqref="F40" xr:uid="{F88F23AA-C33E-492C-A42E-B8C400A615AE}">
      <formula1>$H$37:$H$38</formula1>
    </dataValidation>
    <dataValidation type="list" allowBlank="1" showInputMessage="1" showErrorMessage="1" errorTitle="Falscher Wert!" error="Bitte geben Sie die Zahl 0 oder 10 ein." sqref="F37" xr:uid="{C1BB522F-DF5F-49A4-AEA7-EFE038CA36C2}">
      <formula1>$G$35:$G$36</formula1>
    </dataValidation>
    <dataValidation type="list" allowBlank="1" showInputMessage="1" showErrorMessage="1" errorTitle="Falscher Wert!" error="Bitte geben Sie die Zahl 0 oder 10 ein." sqref="F38" xr:uid="{7B6E3FBD-B7FF-46A1-B8F6-3D97E81C64E3}">
      <formula1>$G$37:$G$38</formula1>
    </dataValidation>
  </dataValidations>
  <printOptions horizontalCentered="1"/>
  <pageMargins left="0.59055118110236227" right="0.59055118110236227" top="0.59055118110236227" bottom="0.59055118110236227" header="0.31496062992125984" footer="0.31496062992125984"/>
  <pageSetup paperSize="9" scale="3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8774-DB5D-446D-8666-0929E9A29331}">
  <sheetPr>
    <pageSetUpPr fitToPage="1"/>
  </sheetPr>
  <dimension ref="A1:R47"/>
  <sheetViews>
    <sheetView showGridLines="0" topLeftCell="E1" zoomScale="70" zoomScaleNormal="70" workbookViewId="0">
      <selection activeCell="Q38" sqref="Q38:R38"/>
    </sheetView>
  </sheetViews>
  <sheetFormatPr baseColWidth="10" defaultColWidth="11.42578125" defaultRowHeight="12.75"/>
  <cols>
    <col min="1" max="1" width="30.5703125" style="165" customWidth="1"/>
    <col min="2" max="2" width="57.85546875" style="165" customWidth="1"/>
    <col min="3" max="3" width="70.140625" style="165" customWidth="1"/>
    <col min="4" max="4" width="14.7109375" style="165" customWidth="1"/>
    <col min="5" max="5" width="15.7109375" style="359" customWidth="1"/>
    <col min="6" max="6" width="4.140625" style="165" hidden="1" customWidth="1"/>
    <col min="7" max="7" width="7.85546875" style="165" hidden="1" customWidth="1"/>
    <col min="8" max="8" width="6" style="165" hidden="1" customWidth="1"/>
    <col min="9" max="9" width="7.42578125" style="165" hidden="1" customWidth="1"/>
    <col min="10" max="10" width="30.7109375" style="359" customWidth="1"/>
    <col min="11" max="13" width="11.42578125" style="165"/>
    <col min="14" max="14" width="105.5703125" style="165" bestFit="1" customWidth="1"/>
    <col min="15" max="15" width="14.85546875" style="165" customWidth="1"/>
    <col min="16" max="16" width="16.28515625" style="165" customWidth="1"/>
    <col min="17" max="16384" width="11.42578125" style="165"/>
  </cols>
  <sheetData>
    <row r="1" spans="1:18" ht="24.95" customHeight="1">
      <c r="A1" s="874" t="s">
        <v>323</v>
      </c>
      <c r="B1" s="874"/>
      <c r="C1" s="874"/>
      <c r="D1" s="874"/>
      <c r="E1" s="874"/>
      <c r="F1" s="874"/>
      <c r="G1" s="874"/>
      <c r="H1" s="874"/>
      <c r="I1" s="874"/>
      <c r="J1" s="874"/>
    </row>
    <row r="2" spans="1:18" ht="7.5" customHeight="1">
      <c r="A2" s="176"/>
      <c r="B2" s="176"/>
      <c r="C2" s="176"/>
      <c r="D2" s="176"/>
      <c r="E2" s="187"/>
    </row>
    <row r="3" spans="1:18" ht="7.5" customHeight="1" thickBot="1">
      <c r="A3" s="176"/>
      <c r="B3" s="176"/>
      <c r="C3" s="176"/>
      <c r="D3" s="176"/>
      <c r="E3" s="187"/>
    </row>
    <row r="4" spans="1:18" ht="42.75" customHeight="1" thickBot="1">
      <c r="A4" s="599" t="s">
        <v>62</v>
      </c>
      <c r="B4" s="600" t="s">
        <v>76</v>
      </c>
      <c r="C4" s="600" t="s">
        <v>65</v>
      </c>
      <c r="D4" s="601" t="s">
        <v>66</v>
      </c>
      <c r="E4" s="551" t="s">
        <v>63</v>
      </c>
      <c r="J4" s="552" t="s">
        <v>24</v>
      </c>
      <c r="N4" s="188" t="s">
        <v>324</v>
      </c>
    </row>
    <row r="5" spans="1:18" s="144" customFormat="1" ht="40.5" customHeight="1" thickBot="1">
      <c r="A5" s="602" t="s">
        <v>325</v>
      </c>
      <c r="B5" s="365" t="s">
        <v>326</v>
      </c>
      <c r="C5" s="365" t="s">
        <v>67</v>
      </c>
      <c r="D5" s="543">
        <v>4</v>
      </c>
      <c r="E5" s="540"/>
      <c r="F5" s="144">
        <v>0</v>
      </c>
      <c r="G5" s="144">
        <v>4</v>
      </c>
      <c r="J5" s="492"/>
      <c r="N5" s="688" t="s">
        <v>327</v>
      </c>
      <c r="O5" s="689"/>
      <c r="P5" s="690" t="s">
        <v>420</v>
      </c>
      <c r="Q5" s="915" t="s">
        <v>24</v>
      </c>
      <c r="R5" s="916"/>
    </row>
    <row r="6" spans="1:18" s="144" customFormat="1" ht="22.7" customHeight="1" thickBot="1">
      <c r="A6" s="927" t="s">
        <v>328</v>
      </c>
      <c r="B6" s="952"/>
      <c r="C6" s="928"/>
      <c r="D6" s="603" t="s">
        <v>44</v>
      </c>
      <c r="E6" s="604"/>
      <c r="J6" s="492"/>
      <c r="N6" s="691" t="s">
        <v>421</v>
      </c>
      <c r="O6" s="692"/>
      <c r="P6" s="693"/>
      <c r="Q6" s="904"/>
      <c r="R6" s="900"/>
    </row>
    <row r="7" spans="1:18" s="144" customFormat="1" ht="24.95" customHeight="1" thickBot="1">
      <c r="A7" s="929" t="s">
        <v>68</v>
      </c>
      <c r="B7" s="953" t="s">
        <v>329</v>
      </c>
      <c r="C7" s="953"/>
      <c r="D7" s="231">
        <v>4</v>
      </c>
      <c r="E7" s="542"/>
      <c r="F7" s="360">
        <v>0</v>
      </c>
      <c r="G7" s="360">
        <v>4</v>
      </c>
      <c r="H7" s="360"/>
      <c r="I7" s="360"/>
      <c r="J7" s="492"/>
      <c r="N7" s="694" t="s">
        <v>332</v>
      </c>
      <c r="O7" s="694" t="s">
        <v>333</v>
      </c>
      <c r="P7" s="695" t="s">
        <v>420</v>
      </c>
      <c r="Q7" s="899"/>
      <c r="R7" s="900"/>
    </row>
    <row r="8" spans="1:18" s="144" customFormat="1" ht="27.75" customHeight="1" thickBot="1">
      <c r="A8" s="929"/>
      <c r="B8" s="827" t="s">
        <v>418</v>
      </c>
      <c r="C8" s="827"/>
      <c r="D8" s="362">
        <v>4</v>
      </c>
      <c r="E8" s="945"/>
      <c r="F8" s="360">
        <v>0</v>
      </c>
      <c r="G8" s="360">
        <v>2</v>
      </c>
      <c r="H8" s="360">
        <v>4</v>
      </c>
      <c r="I8" s="360"/>
      <c r="J8" s="936"/>
      <c r="N8" s="917" t="s">
        <v>335</v>
      </c>
      <c r="O8" s="918"/>
      <c r="P8" s="919"/>
      <c r="Q8" s="899"/>
      <c r="R8" s="900"/>
    </row>
    <row r="9" spans="1:18" s="144" customFormat="1" ht="23.25" customHeight="1">
      <c r="A9" s="929"/>
      <c r="B9" s="827" t="s">
        <v>330</v>
      </c>
      <c r="C9" s="827"/>
      <c r="D9" s="229">
        <v>2</v>
      </c>
      <c r="E9" s="935"/>
      <c r="F9" s="360"/>
      <c r="G9" s="360"/>
      <c r="H9" s="360"/>
      <c r="I9" s="360"/>
      <c r="J9" s="938"/>
      <c r="N9" s="696" t="s">
        <v>422</v>
      </c>
      <c r="O9" s="697">
        <v>0.5</v>
      </c>
      <c r="P9" s="693"/>
      <c r="Q9" s="899"/>
      <c r="R9" s="900"/>
    </row>
    <row r="10" spans="1:18" s="144" customFormat="1" ht="42.6" customHeight="1">
      <c r="A10" s="929"/>
      <c r="B10" s="827" t="s">
        <v>331</v>
      </c>
      <c r="C10" s="827"/>
      <c r="D10" s="362">
        <v>4</v>
      </c>
      <c r="E10" s="945"/>
      <c r="F10" s="360">
        <v>0</v>
      </c>
      <c r="G10" s="360">
        <v>2</v>
      </c>
      <c r="H10" s="360">
        <v>4</v>
      </c>
      <c r="I10" s="360"/>
      <c r="J10" s="936"/>
      <c r="N10" s="698" t="s">
        <v>423</v>
      </c>
      <c r="O10" s="699">
        <v>0.3</v>
      </c>
      <c r="P10" s="700"/>
      <c r="Q10" s="899"/>
      <c r="R10" s="900"/>
    </row>
    <row r="11" spans="1:18" s="144" customFormat="1" ht="45" customHeight="1" thickBot="1">
      <c r="A11" s="929"/>
      <c r="B11" s="827" t="s">
        <v>334</v>
      </c>
      <c r="C11" s="827"/>
      <c r="D11" s="229">
        <v>2</v>
      </c>
      <c r="E11" s="935"/>
      <c r="F11" s="360"/>
      <c r="G11" s="360"/>
      <c r="H11" s="360"/>
      <c r="I11" s="360"/>
      <c r="J11" s="938"/>
      <c r="N11" s="701" t="s">
        <v>424</v>
      </c>
      <c r="O11" s="702">
        <v>0</v>
      </c>
      <c r="P11" s="703"/>
      <c r="Q11" s="899"/>
      <c r="R11" s="900"/>
    </row>
    <row r="12" spans="1:18" s="144" customFormat="1" ht="24.95" customHeight="1" thickBot="1">
      <c r="A12" s="929"/>
      <c r="B12" s="946" t="s">
        <v>419</v>
      </c>
      <c r="C12" s="947"/>
      <c r="D12" s="950">
        <v>2</v>
      </c>
      <c r="E12" s="934"/>
      <c r="F12" s="360">
        <v>0</v>
      </c>
      <c r="G12" s="360">
        <v>2</v>
      </c>
      <c r="H12" s="360"/>
      <c r="I12" s="360"/>
      <c r="J12" s="885"/>
      <c r="N12" s="912" t="s">
        <v>339</v>
      </c>
      <c r="O12" s="913"/>
      <c r="P12" s="914"/>
      <c r="Q12" s="899"/>
      <c r="R12" s="900"/>
    </row>
    <row r="13" spans="1:18" s="144" customFormat="1" ht="15.75" thickBot="1">
      <c r="A13" s="929"/>
      <c r="B13" s="948"/>
      <c r="C13" s="949"/>
      <c r="D13" s="951"/>
      <c r="E13" s="935"/>
      <c r="F13" s="360"/>
      <c r="G13" s="360"/>
      <c r="H13" s="360"/>
      <c r="I13" s="360"/>
      <c r="J13" s="885"/>
      <c r="N13" s="901" t="s">
        <v>341</v>
      </c>
      <c r="O13" s="909"/>
      <c r="P13" s="911"/>
      <c r="Q13" s="899"/>
      <c r="R13" s="900"/>
    </row>
    <row r="14" spans="1:18" s="144" customFormat="1" ht="34.5" customHeight="1">
      <c r="A14" s="594"/>
      <c r="B14" s="939" t="s">
        <v>336</v>
      </c>
      <c r="C14" s="940"/>
      <c r="D14" s="172">
        <v>3</v>
      </c>
      <c r="E14" s="343"/>
      <c r="F14" s="360">
        <v>0</v>
      </c>
      <c r="G14" s="360">
        <v>3</v>
      </c>
      <c r="H14" s="360"/>
      <c r="I14" s="360">
        <v>0</v>
      </c>
      <c r="J14" s="492"/>
      <c r="N14" s="705" t="s">
        <v>425</v>
      </c>
      <c r="O14" s="697">
        <v>1</v>
      </c>
      <c r="P14" s="693"/>
      <c r="Q14" s="899"/>
      <c r="R14" s="900"/>
    </row>
    <row r="15" spans="1:18" s="144" customFormat="1" ht="34.5" customHeight="1" thickBot="1">
      <c r="A15" s="921" t="s">
        <v>337</v>
      </c>
      <c r="B15" s="939" t="s">
        <v>338</v>
      </c>
      <c r="C15" s="940"/>
      <c r="D15" s="543">
        <v>3</v>
      </c>
      <c r="E15" s="945"/>
      <c r="F15" s="360"/>
      <c r="G15" s="360"/>
      <c r="H15" s="360"/>
      <c r="I15" s="360">
        <v>3</v>
      </c>
      <c r="J15" s="492"/>
      <c r="N15" s="706" t="s">
        <v>426</v>
      </c>
      <c r="O15" s="702">
        <v>1.1000000000000001</v>
      </c>
      <c r="P15" s="707"/>
      <c r="Q15" s="899"/>
      <c r="R15" s="900"/>
    </row>
    <row r="16" spans="1:18" s="144" customFormat="1" ht="34.5" customHeight="1" thickBot="1">
      <c r="A16" s="929"/>
      <c r="B16" s="605" t="s">
        <v>340</v>
      </c>
      <c r="C16" s="159"/>
      <c r="D16" s="231">
        <v>3</v>
      </c>
      <c r="E16" s="934"/>
      <c r="F16" s="360"/>
      <c r="G16" s="360"/>
      <c r="H16" s="360"/>
      <c r="I16" s="360">
        <v>6</v>
      </c>
      <c r="J16" s="492"/>
      <c r="N16" s="901" t="s">
        <v>345</v>
      </c>
      <c r="O16" s="909"/>
      <c r="P16" s="911"/>
      <c r="Q16" s="899"/>
      <c r="R16" s="900"/>
    </row>
    <row r="17" spans="1:18" s="144" customFormat="1" ht="34.5" customHeight="1">
      <c r="A17" s="930"/>
      <c r="B17" s="939" t="s">
        <v>342</v>
      </c>
      <c r="C17" s="940"/>
      <c r="D17" s="229">
        <v>3</v>
      </c>
      <c r="E17" s="935"/>
      <c r="F17" s="360"/>
      <c r="G17" s="360"/>
      <c r="H17" s="360"/>
      <c r="I17" s="360">
        <v>9</v>
      </c>
      <c r="J17" s="492"/>
      <c r="N17" s="705" t="s">
        <v>425</v>
      </c>
      <c r="O17" s="697">
        <v>0.9</v>
      </c>
      <c r="P17" s="693"/>
      <c r="Q17" s="899"/>
      <c r="R17" s="900"/>
    </row>
    <row r="18" spans="1:18" s="144" customFormat="1" ht="39" customHeight="1" thickBot="1">
      <c r="A18" s="921" t="s">
        <v>69</v>
      </c>
      <c r="B18" s="924" t="s">
        <v>70</v>
      </c>
      <c r="C18" s="367" t="s">
        <v>343</v>
      </c>
      <c r="D18" s="543">
        <v>3</v>
      </c>
      <c r="E18" s="343"/>
      <c r="F18" s="144">
        <v>0</v>
      </c>
      <c r="G18" s="144">
        <v>3</v>
      </c>
      <c r="I18" s="360"/>
      <c r="J18" s="492"/>
      <c r="N18" s="706" t="s">
        <v>426</v>
      </c>
      <c r="O18" s="702">
        <v>1</v>
      </c>
      <c r="P18" s="703"/>
      <c r="Q18" s="899"/>
      <c r="R18" s="900"/>
    </row>
    <row r="19" spans="1:18" s="144" customFormat="1" ht="24.95" customHeight="1" thickBot="1">
      <c r="A19" s="922"/>
      <c r="B19" s="925"/>
      <c r="C19" s="344" t="s">
        <v>344</v>
      </c>
      <c r="D19" s="366">
        <v>2</v>
      </c>
      <c r="E19" s="343"/>
      <c r="F19" s="144">
        <v>0</v>
      </c>
      <c r="G19" s="144">
        <v>2</v>
      </c>
      <c r="I19" s="144">
        <v>0</v>
      </c>
      <c r="J19" s="492"/>
      <c r="N19" s="901" t="s">
        <v>351</v>
      </c>
      <c r="O19" s="909"/>
      <c r="P19" s="911"/>
      <c r="Q19" s="899"/>
      <c r="R19" s="900"/>
    </row>
    <row r="20" spans="1:18" s="144" customFormat="1" ht="24.95" customHeight="1" thickBot="1">
      <c r="A20" s="923"/>
      <c r="B20" s="926"/>
      <c r="C20" s="606" t="s">
        <v>71</v>
      </c>
      <c r="D20" s="607">
        <v>1</v>
      </c>
      <c r="E20" s="343"/>
      <c r="F20" s="144">
        <v>0</v>
      </c>
      <c r="G20" s="144">
        <v>1</v>
      </c>
      <c r="I20" s="144">
        <v>4</v>
      </c>
      <c r="J20" s="492"/>
      <c r="N20" s="705" t="s">
        <v>425</v>
      </c>
      <c r="O20" s="697">
        <v>0.7</v>
      </c>
      <c r="P20" s="693"/>
      <c r="Q20" s="899"/>
      <c r="R20" s="900"/>
    </row>
    <row r="21" spans="1:18" s="144" customFormat="1" ht="24.95" customHeight="1" thickBot="1">
      <c r="A21" s="927" t="s">
        <v>346</v>
      </c>
      <c r="B21" s="928"/>
      <c r="C21" s="608" t="s">
        <v>347</v>
      </c>
      <c r="D21" s="603" t="s">
        <v>44</v>
      </c>
      <c r="E21" s="609"/>
      <c r="I21" s="144">
        <v>8</v>
      </c>
      <c r="J21" s="492"/>
      <c r="N21" s="706" t="s">
        <v>426</v>
      </c>
      <c r="O21" s="702">
        <v>0.8</v>
      </c>
      <c r="P21" s="703"/>
      <c r="Q21" s="899"/>
      <c r="R21" s="900"/>
    </row>
    <row r="22" spans="1:18" s="144" customFormat="1" ht="24.75" customHeight="1" thickBot="1">
      <c r="A22" s="929" t="s">
        <v>348</v>
      </c>
      <c r="B22" s="931" t="s">
        <v>349</v>
      </c>
      <c r="C22" s="610" t="s">
        <v>350</v>
      </c>
      <c r="D22" s="231">
        <v>4</v>
      </c>
      <c r="E22" s="1029">
        <f>IF(P42&lt;0.4,0,IF(AND(P42&gt;=0.4,P42&lt;0.5),4,IF(AND(P42&gt;=0.5,P42&lt;0.6),8,IF(AND(P42&gt;=0.6,P42&lt;0.7),12,IF(AND(P42&gt;=0.7,P42&lt;0.8),16,20)))))</f>
        <v>0</v>
      </c>
      <c r="I22" s="144">
        <v>12</v>
      </c>
      <c r="J22" s="493"/>
      <c r="N22" s="901" t="s">
        <v>355</v>
      </c>
      <c r="O22" s="909"/>
      <c r="P22" s="911"/>
      <c r="Q22" s="899"/>
      <c r="R22" s="900"/>
    </row>
    <row r="23" spans="1:18" s="144" customFormat="1" ht="24.75" customHeight="1" thickBot="1">
      <c r="A23" s="929"/>
      <c r="B23" s="932"/>
      <c r="C23" s="610" t="s">
        <v>352</v>
      </c>
      <c r="D23" s="231">
        <v>8</v>
      </c>
      <c r="E23" s="1029"/>
      <c r="F23" s="360"/>
      <c r="G23" s="360"/>
      <c r="H23" s="360"/>
      <c r="I23" s="144">
        <v>16</v>
      </c>
      <c r="J23" s="936"/>
      <c r="N23" s="708" t="s">
        <v>357</v>
      </c>
      <c r="O23" s="697">
        <v>1</v>
      </c>
      <c r="P23" s="693"/>
      <c r="Q23" s="899"/>
      <c r="R23" s="900"/>
    </row>
    <row r="24" spans="1:18" s="144" customFormat="1" ht="24.75" customHeight="1" thickBot="1">
      <c r="A24" s="929"/>
      <c r="B24" s="932"/>
      <c r="C24" s="610" t="s">
        <v>353</v>
      </c>
      <c r="D24" s="231">
        <v>12</v>
      </c>
      <c r="E24" s="1029"/>
      <c r="F24" s="360"/>
      <c r="G24" s="360"/>
      <c r="H24" s="360"/>
      <c r="I24" s="360">
        <v>20</v>
      </c>
      <c r="J24" s="937"/>
      <c r="N24" s="709" t="s">
        <v>358</v>
      </c>
      <c r="O24" s="710">
        <v>1.1000000000000001</v>
      </c>
      <c r="P24" s="703"/>
      <c r="Q24" s="899"/>
      <c r="R24" s="900"/>
    </row>
    <row r="25" spans="1:18" s="144" customFormat="1" ht="24.75" customHeight="1" thickBot="1">
      <c r="A25" s="929"/>
      <c r="B25" s="932"/>
      <c r="C25" s="610" t="s">
        <v>354</v>
      </c>
      <c r="D25" s="231">
        <v>16</v>
      </c>
      <c r="E25" s="1029"/>
      <c r="F25" s="360"/>
      <c r="G25" s="360"/>
      <c r="H25" s="360"/>
      <c r="I25" s="360"/>
      <c r="J25" s="937"/>
      <c r="N25" s="709" t="s">
        <v>427</v>
      </c>
      <c r="O25" s="711">
        <v>1.2</v>
      </c>
      <c r="P25" s="707"/>
      <c r="Q25" s="908"/>
      <c r="R25" s="899"/>
    </row>
    <row r="26" spans="1:18" s="144" customFormat="1" ht="24.75" customHeight="1" thickBot="1">
      <c r="A26" s="930"/>
      <c r="B26" s="933"/>
      <c r="C26" s="611" t="s">
        <v>356</v>
      </c>
      <c r="D26" s="229">
        <v>20</v>
      </c>
      <c r="E26" s="1030"/>
      <c r="F26" s="360"/>
      <c r="G26" s="360"/>
      <c r="H26" s="360"/>
      <c r="I26" s="360"/>
      <c r="J26" s="938"/>
      <c r="N26" s="901" t="s">
        <v>359</v>
      </c>
      <c r="O26" s="909"/>
      <c r="P26" s="910"/>
      <c r="Q26" s="899"/>
      <c r="R26" s="900"/>
    </row>
    <row r="27" spans="1:18" s="144" customFormat="1" ht="35.25" customHeight="1">
      <c r="A27" s="572" t="s">
        <v>72</v>
      </c>
      <c r="B27" s="939" t="s">
        <v>73</v>
      </c>
      <c r="C27" s="940"/>
      <c r="D27" s="172">
        <v>5</v>
      </c>
      <c r="E27" s="343"/>
      <c r="F27" s="360">
        <v>0</v>
      </c>
      <c r="G27" s="360">
        <v>5</v>
      </c>
      <c r="H27" s="360"/>
      <c r="I27" s="360"/>
      <c r="J27" s="492"/>
      <c r="N27" s="705" t="s">
        <v>360</v>
      </c>
      <c r="O27" s="697">
        <v>0.7</v>
      </c>
      <c r="P27" s="693"/>
      <c r="Q27" s="899"/>
      <c r="R27" s="900"/>
    </row>
    <row r="28" spans="1:18" s="144" customFormat="1" ht="33.75" customHeight="1" thickBot="1">
      <c r="A28" s="612" t="s">
        <v>74</v>
      </c>
      <c r="B28" s="941" t="s">
        <v>75</v>
      </c>
      <c r="C28" s="942"/>
      <c r="D28" s="546">
        <v>5</v>
      </c>
      <c r="E28" s="613"/>
      <c r="F28" s="360">
        <v>0</v>
      </c>
      <c r="G28" s="360">
        <v>5</v>
      </c>
      <c r="H28" s="360"/>
      <c r="I28" s="360"/>
      <c r="J28" s="492"/>
      <c r="K28" s="943"/>
      <c r="L28" s="944"/>
      <c r="M28" s="944"/>
      <c r="N28" s="712" t="s">
        <v>361</v>
      </c>
      <c r="O28" s="699">
        <v>0.6</v>
      </c>
      <c r="P28" s="700"/>
      <c r="Q28" s="899"/>
      <c r="R28" s="900"/>
    </row>
    <row r="29" spans="1:18" s="144" customFormat="1" ht="24.95" customHeight="1" thickBot="1">
      <c r="A29" s="815" t="s">
        <v>31</v>
      </c>
      <c r="B29" s="816"/>
      <c r="C29" s="816"/>
      <c r="D29" s="368"/>
      <c r="E29" s="614">
        <f>IF(SUM(E5:E28)&lt;60,SUM(E5:E28),60)</f>
        <v>0</v>
      </c>
      <c r="F29" s="140"/>
      <c r="G29" s="140"/>
      <c r="H29" s="140"/>
      <c r="I29" s="140"/>
      <c r="J29" s="615"/>
      <c r="N29" s="713" t="s">
        <v>362</v>
      </c>
      <c r="O29" s="702">
        <v>0.8</v>
      </c>
      <c r="P29" s="703"/>
      <c r="Q29" s="899"/>
      <c r="R29" s="900"/>
    </row>
    <row r="30" spans="1:18" s="140" customFormat="1" ht="30.2" customHeight="1" thickBot="1">
      <c r="A30" s="138"/>
      <c r="B30" s="138"/>
      <c r="C30" s="138"/>
      <c r="D30" s="138"/>
      <c r="E30" s="616"/>
      <c r="F30" s="165"/>
      <c r="G30" s="165"/>
      <c r="H30" s="165"/>
      <c r="I30" s="165"/>
      <c r="J30" s="359"/>
      <c r="N30" s="905" t="s">
        <v>363</v>
      </c>
      <c r="O30" s="906"/>
      <c r="P30" s="907"/>
      <c r="Q30" s="899"/>
      <c r="R30" s="900"/>
    </row>
    <row r="31" spans="1:18" ht="39" thickBot="1">
      <c r="N31" s="714" t="s">
        <v>364</v>
      </c>
      <c r="O31" s="715">
        <v>0.5</v>
      </c>
      <c r="P31" s="716"/>
      <c r="Q31" s="899"/>
      <c r="R31" s="900"/>
    </row>
    <row r="32" spans="1:18" ht="14.25">
      <c r="N32" s="717" t="s">
        <v>428</v>
      </c>
      <c r="O32" s="697">
        <v>0.7</v>
      </c>
      <c r="P32" s="718"/>
      <c r="Q32" s="899"/>
      <c r="R32" s="900"/>
    </row>
    <row r="33" spans="14:18" ht="39" customHeight="1" thickBot="1">
      <c r="N33" s="719" t="s">
        <v>429</v>
      </c>
      <c r="O33" s="702">
        <v>0.9</v>
      </c>
      <c r="P33" s="703"/>
      <c r="Q33" s="899"/>
      <c r="R33" s="900"/>
    </row>
    <row r="34" spans="14:18" ht="15.75" thickBot="1">
      <c r="N34" s="901" t="s">
        <v>365</v>
      </c>
      <c r="O34" s="902"/>
      <c r="P34" s="903"/>
      <c r="Q34" s="904"/>
      <c r="R34" s="900"/>
    </row>
    <row r="35" spans="14:18" ht="14.25">
      <c r="N35" s="705" t="s">
        <v>366</v>
      </c>
      <c r="O35" s="699">
        <v>1.1000000000000001</v>
      </c>
      <c r="P35" s="693"/>
      <c r="Q35" s="899"/>
      <c r="R35" s="900"/>
    </row>
    <row r="36" spans="14:18" ht="15" thickBot="1">
      <c r="N36" s="712" t="s">
        <v>367</v>
      </c>
      <c r="O36" s="699">
        <v>1.1000000000000001</v>
      </c>
      <c r="P36" s="700"/>
      <c r="Q36" s="904"/>
      <c r="R36" s="900"/>
    </row>
    <row r="37" spans="14:18" ht="15.75" thickBot="1">
      <c r="N37" s="704" t="s">
        <v>368</v>
      </c>
      <c r="O37" s="720" t="s">
        <v>369</v>
      </c>
      <c r="P37" s="721"/>
      <c r="Q37" s="899"/>
      <c r="R37" s="900"/>
    </row>
    <row r="38" spans="14:18" ht="15.75" thickBot="1">
      <c r="N38" s="705" t="s">
        <v>430</v>
      </c>
      <c r="O38" s="722"/>
      <c r="P38" s="723">
        <f>O38*75</f>
        <v>0</v>
      </c>
      <c r="Q38" s="900"/>
      <c r="R38" s="900"/>
    </row>
    <row r="39" spans="14:18" ht="15.75" thickBot="1">
      <c r="N39" s="712" t="s">
        <v>431</v>
      </c>
      <c r="O39" s="722"/>
      <c r="P39" s="723">
        <f>O39*20</f>
        <v>0</v>
      </c>
      <c r="Q39" s="900"/>
      <c r="R39" s="900"/>
    </row>
    <row r="40" spans="14:18" ht="15.75" thickBot="1">
      <c r="N40" s="724" t="s">
        <v>432</v>
      </c>
      <c r="O40" s="722"/>
      <c r="P40" s="723">
        <f>O40*5</f>
        <v>0</v>
      </c>
      <c r="Q40" s="900"/>
      <c r="R40" s="900"/>
    </row>
    <row r="41" spans="14:18" ht="18.75" thickBot="1">
      <c r="N41" s="725" t="s">
        <v>370</v>
      </c>
      <c r="O41" s="726" t="s">
        <v>371</v>
      </c>
      <c r="P41" s="727">
        <f>P9*O9+P10*O10+P11*O11+P14*O14+P15*O15+P17*O17+P18*O18+P20*O20+P21*O21+P23*O23+P24*O24+P27*O27+P28*O28+P29*O29+P31*O31+P32*O32+P33*O33+P35*O35+P36*O36+P38+P39+P40</f>
        <v>0</v>
      </c>
      <c r="Q41" s="899"/>
      <c r="R41" s="900"/>
    </row>
    <row r="42" spans="14:18" ht="18.75" thickBot="1">
      <c r="N42" s="725" t="s">
        <v>372</v>
      </c>
      <c r="O42" s="726" t="s">
        <v>373</v>
      </c>
      <c r="P42" s="727">
        <f>IFERROR(P41/P6,0)</f>
        <v>0</v>
      </c>
      <c r="Q42" s="899"/>
      <c r="R42" s="900"/>
    </row>
    <row r="43" spans="14:18">
      <c r="N43" s="728"/>
      <c r="O43" s="729"/>
      <c r="P43" s="730"/>
      <c r="Q43"/>
    </row>
    <row r="44" spans="14:18" ht="15">
      <c r="N44" s="731"/>
      <c r="O44" s="732"/>
      <c r="P44" s="733"/>
      <c r="Q44"/>
    </row>
    <row r="45" spans="14:18" ht="15">
      <c r="N45" s="731"/>
      <c r="O45" s="732"/>
      <c r="P45" s="733"/>
      <c r="Q45"/>
    </row>
    <row r="46" spans="14:18">
      <c r="N46"/>
      <c r="O46"/>
      <c r="P46"/>
      <c r="Q46"/>
    </row>
    <row r="47" spans="14:18">
      <c r="N47" s="920"/>
      <c r="O47" s="920"/>
      <c r="P47" s="920"/>
      <c r="Q47"/>
    </row>
  </sheetData>
  <sheetProtection algorithmName="SHA-512" hashValue="ZlfuibnmzyMcVr0gMXJE1t/Q2TULm/C9BkKZkt3SW1mk0gsxfk1clLgfi4aXp/1KGX99ygJoRyKT7JBy2ulWyg==" saltValue="bXv4X2Clb8pPvlOU2RQ7nw==" spinCount="100000" sheet="1" selectLockedCells="1"/>
  <protectedRanges>
    <protectedRange sqref="Q6:R42" name="Bereich26"/>
    <protectedRange sqref="O38:O40" name="Bereich25"/>
    <protectedRange sqref="P35:P36" name="Bereich24"/>
    <protectedRange sqref="P31:P33" name="Bereich23"/>
    <protectedRange sqref="P27:P29" name="Bereich22"/>
    <protectedRange sqref="P23:P25" name="Bereich21"/>
    <protectedRange sqref="P20:P21" name="Bereich20"/>
    <protectedRange sqref="P17:P18" name="Bereich19"/>
    <protectedRange sqref="P14:P15" name="Bereich18"/>
    <protectedRange sqref="P9:P11" name="Bereich17"/>
    <protectedRange sqref="P6" name="Bereich16"/>
  </protectedRanges>
  <mergeCells count="80">
    <mergeCell ref="A1:J1"/>
    <mergeCell ref="A6:C6"/>
    <mergeCell ref="A7:A13"/>
    <mergeCell ref="B7:C7"/>
    <mergeCell ref="B8:C8"/>
    <mergeCell ref="E8:E9"/>
    <mergeCell ref="J8:J9"/>
    <mergeCell ref="J10:J11"/>
    <mergeCell ref="B11:C11"/>
    <mergeCell ref="B12:C13"/>
    <mergeCell ref="D12:D13"/>
    <mergeCell ref="E12:E13"/>
    <mergeCell ref="J12:J13"/>
    <mergeCell ref="A15:A17"/>
    <mergeCell ref="B15:C15"/>
    <mergeCell ref="E15:E17"/>
    <mergeCell ref="B17:C17"/>
    <mergeCell ref="B9:C9"/>
    <mergeCell ref="B10:C10"/>
    <mergeCell ref="E10:E11"/>
    <mergeCell ref="B14:C14"/>
    <mergeCell ref="N47:P47"/>
    <mergeCell ref="A18:A20"/>
    <mergeCell ref="B18:B20"/>
    <mergeCell ref="A21:B21"/>
    <mergeCell ref="A22:A26"/>
    <mergeCell ref="B22:B26"/>
    <mergeCell ref="E22:E26"/>
    <mergeCell ref="J23:J26"/>
    <mergeCell ref="B27:C27"/>
    <mergeCell ref="B28:C28"/>
    <mergeCell ref="K28:M28"/>
    <mergeCell ref="A29:C29"/>
    <mergeCell ref="Q5:R5"/>
    <mergeCell ref="Q6:R6"/>
    <mergeCell ref="Q7:R7"/>
    <mergeCell ref="N8:P8"/>
    <mergeCell ref="Q8:R8"/>
    <mergeCell ref="Q9:R9"/>
    <mergeCell ref="Q10:R10"/>
    <mergeCell ref="Q11:R11"/>
    <mergeCell ref="N12:P12"/>
    <mergeCell ref="Q12:R12"/>
    <mergeCell ref="Q13:R13"/>
    <mergeCell ref="Q14:R14"/>
    <mergeCell ref="Q15:R15"/>
    <mergeCell ref="N16:P16"/>
    <mergeCell ref="Q16:R16"/>
    <mergeCell ref="N13:P13"/>
    <mergeCell ref="Q17:R17"/>
    <mergeCell ref="Q18:R18"/>
    <mergeCell ref="N19:P19"/>
    <mergeCell ref="Q19:R19"/>
    <mergeCell ref="Q20:R20"/>
    <mergeCell ref="Q21:R21"/>
    <mergeCell ref="N22:P22"/>
    <mergeCell ref="Q22:R22"/>
    <mergeCell ref="Q23:R23"/>
    <mergeCell ref="Q24:R24"/>
    <mergeCell ref="Q25:R25"/>
    <mergeCell ref="N26:P26"/>
    <mergeCell ref="Q26:R26"/>
    <mergeCell ref="Q27:R27"/>
    <mergeCell ref="Q28:R28"/>
    <mergeCell ref="Q29:R29"/>
    <mergeCell ref="N30:P30"/>
    <mergeCell ref="Q30:R30"/>
    <mergeCell ref="Q31:R31"/>
    <mergeCell ref="Q32:R32"/>
    <mergeCell ref="Q33:R33"/>
    <mergeCell ref="N34:P34"/>
    <mergeCell ref="Q34:R34"/>
    <mergeCell ref="Q35:R35"/>
    <mergeCell ref="Q36:R36"/>
    <mergeCell ref="Q42:R42"/>
    <mergeCell ref="Q37:R37"/>
    <mergeCell ref="Q38:R38"/>
    <mergeCell ref="Q39:R39"/>
    <mergeCell ref="Q40:R40"/>
    <mergeCell ref="Q41:R41"/>
  </mergeCells>
  <dataValidations count="13">
    <dataValidation type="list" allowBlank="1" showInputMessage="1" showErrorMessage="1" sqref="E22:E26" xr:uid="{95093D13-65FB-4F75-B5B6-8C9263F26EA3}">
      <formula1>$I$19:$I$24</formula1>
    </dataValidation>
    <dataValidation type="list" allowBlank="1" showInputMessage="1" showErrorMessage="1" sqref="E15:E17" xr:uid="{5FF6D556-7BA0-4253-B542-E659F7EA554E}">
      <formula1>$I$14:$I$17</formula1>
    </dataValidation>
    <dataValidation type="list" allowBlank="1" showInputMessage="1" showErrorMessage="1" sqref="E14" xr:uid="{C03D7DA3-8218-458A-808F-D8F81C901E6F}">
      <formula1>$F$14:$G$14</formula1>
    </dataValidation>
    <dataValidation type="list" allowBlank="1" showInputMessage="1" showErrorMessage="1" sqref="E27" xr:uid="{FA4F7DA4-5B56-4952-9ED4-F9D3CEB5B778}">
      <formula1>$F$27:$G$27</formula1>
    </dataValidation>
    <dataValidation type="list" allowBlank="1" showInputMessage="1" showErrorMessage="1" sqref="E10:E11" xr:uid="{09EA52F1-9D24-4CE7-B889-27D60AFE4925}">
      <formula1>$F$10:$H$10</formula1>
    </dataValidation>
    <dataValidation type="list" allowBlank="1" showInputMessage="1" showErrorMessage="1" sqref="E8:E9" xr:uid="{16DA5018-4850-459A-9FE9-F38ED2AB46D7}">
      <formula1>$F$8:$H$8</formula1>
    </dataValidation>
    <dataValidation type="list" allowBlank="1" showInputMessage="1" showErrorMessage="1" sqref="E12:E13" xr:uid="{EB8E5667-8D38-4799-8103-28DDDE667A5F}">
      <formula1>$F$12:$G$12</formula1>
    </dataValidation>
    <dataValidation type="list" allowBlank="1" showInputMessage="1" showErrorMessage="1" sqref="E20" xr:uid="{ACA7D7A6-31D9-4278-A89E-045FBFFF3AEC}">
      <formula1>$F$20:$G$20</formula1>
    </dataValidation>
    <dataValidation type="list" allowBlank="1" showInputMessage="1" showErrorMessage="1" sqref="E19" xr:uid="{3A92ED56-AF26-4F09-9A61-90775B461782}">
      <formula1>$F$19:$G$19</formula1>
    </dataValidation>
    <dataValidation type="list" allowBlank="1" showInputMessage="1" showErrorMessage="1" sqref="E18" xr:uid="{6B088944-EF61-486A-870D-C4AA1A661F95}">
      <formula1>$F$18:$G$18</formula1>
    </dataValidation>
    <dataValidation type="list" allowBlank="1" showInputMessage="1" showErrorMessage="1" sqref="E28" xr:uid="{033FCD56-F3EB-43F2-AC8F-A648AE46BBC9}">
      <formula1>$F$28:$G$28</formula1>
    </dataValidation>
    <dataValidation type="list" allowBlank="1" showInputMessage="1" showErrorMessage="1" sqref="E7" xr:uid="{A49086B6-3FFB-4131-A777-8CEC526D7C3A}">
      <formula1>$F$7:$G$7</formula1>
    </dataValidation>
    <dataValidation type="list" allowBlank="1" showInputMessage="1" showErrorMessage="1" sqref="E5" xr:uid="{5442B999-DC4C-4349-B5CB-808623657495}">
      <formula1>$F$5:$G$5</formula1>
    </dataValidation>
  </dataValidations>
  <printOptions horizontalCentered="1"/>
  <pageMargins left="0.59055118110236227" right="0.59055118110236227" top="0.59055118110236227" bottom="0.59055118110236227" header="0.31496062992125984" footer="0.31496062992125984"/>
  <pageSetup paperSize="9" scale="4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A6F0F-1A9B-4C02-A07B-A908BF35ED62}">
  <sheetPr>
    <pageSetUpPr fitToPage="1"/>
  </sheetPr>
  <dimension ref="A1:G24"/>
  <sheetViews>
    <sheetView showGridLines="0" zoomScale="85" zoomScaleNormal="85" workbookViewId="0">
      <selection activeCell="G5" sqref="G5"/>
    </sheetView>
  </sheetViews>
  <sheetFormatPr baseColWidth="10" defaultColWidth="11.42578125" defaultRowHeight="12.75"/>
  <cols>
    <col min="1" max="1" width="37.42578125" style="165" customWidth="1"/>
    <col min="2" max="2" width="87.85546875" style="165" customWidth="1"/>
    <col min="3" max="3" width="11.7109375" style="165" customWidth="1"/>
    <col min="4" max="4" width="10.28515625" style="165" customWidth="1"/>
    <col min="5" max="5" width="17.140625" style="359" customWidth="1"/>
    <col min="6" max="6" width="17.140625" style="165" hidden="1" customWidth="1"/>
    <col min="7" max="7" width="17.140625" style="359" customWidth="1"/>
    <col min="8" max="16384" width="11.42578125" style="165"/>
  </cols>
  <sheetData>
    <row r="1" spans="1:7" ht="24.75" customHeight="1">
      <c r="A1" s="874" t="s">
        <v>374</v>
      </c>
      <c r="B1" s="874"/>
      <c r="C1" s="874"/>
      <c r="D1" s="874"/>
      <c r="E1" s="874"/>
    </row>
    <row r="2" spans="1:7" ht="7.5" customHeight="1" thickBot="1">
      <c r="A2" s="176"/>
      <c r="B2" s="176"/>
      <c r="C2" s="176"/>
      <c r="D2" s="176"/>
      <c r="E2" s="187"/>
    </row>
    <row r="3" spans="1:7" s="144" customFormat="1" ht="41.25" customHeight="1" thickBot="1">
      <c r="A3" s="617" t="s">
        <v>62</v>
      </c>
      <c r="B3" s="618" t="s">
        <v>76</v>
      </c>
      <c r="C3" s="963" t="s">
        <v>375</v>
      </c>
      <c r="D3" s="964"/>
      <c r="E3" s="620" t="s">
        <v>63</v>
      </c>
      <c r="G3" s="621" t="s">
        <v>24</v>
      </c>
    </row>
    <row r="4" spans="1:7" ht="39.75" customHeight="1">
      <c r="A4" s="622" t="s">
        <v>77</v>
      </c>
      <c r="B4" s="355" t="s">
        <v>244</v>
      </c>
      <c r="C4" s="965">
        <v>20</v>
      </c>
      <c r="D4" s="966"/>
      <c r="E4" s="623"/>
      <c r="F4" s="357">
        <v>0</v>
      </c>
      <c r="G4" s="494"/>
    </row>
    <row r="5" spans="1:7" ht="80.25" customHeight="1">
      <c r="A5" s="622" t="s">
        <v>78</v>
      </c>
      <c r="B5" s="495" t="s">
        <v>290</v>
      </c>
      <c r="C5" s="965">
        <v>10</v>
      </c>
      <c r="D5" s="966"/>
      <c r="E5" s="535"/>
      <c r="F5" s="357">
        <v>20</v>
      </c>
      <c r="G5" s="494"/>
    </row>
    <row r="6" spans="1:7" ht="80.25" customHeight="1">
      <c r="A6" s="622" t="s">
        <v>376</v>
      </c>
      <c r="B6" s="624" t="s">
        <v>377</v>
      </c>
      <c r="C6" s="961" t="s">
        <v>378</v>
      </c>
      <c r="D6" s="962"/>
      <c r="E6" s="535"/>
      <c r="F6" s="357">
        <v>0</v>
      </c>
      <c r="G6" s="494"/>
    </row>
    <row r="7" spans="1:7" ht="34.5" customHeight="1">
      <c r="A7" s="622" t="s">
        <v>79</v>
      </c>
      <c r="B7" s="473" t="s">
        <v>245</v>
      </c>
      <c r="C7" s="961" t="s">
        <v>288</v>
      </c>
      <c r="D7" s="962"/>
      <c r="E7" s="535"/>
      <c r="F7" s="357">
        <v>10</v>
      </c>
      <c r="G7" s="494"/>
    </row>
    <row r="8" spans="1:7" ht="35.25" customHeight="1" thickBot="1">
      <c r="A8" s="625" t="s">
        <v>379</v>
      </c>
      <c r="B8" s="626" t="s">
        <v>380</v>
      </c>
      <c r="C8" s="954" t="s">
        <v>288</v>
      </c>
      <c r="D8" s="955"/>
      <c r="E8" s="1028"/>
      <c r="F8" s="357">
        <v>3</v>
      </c>
      <c r="G8" s="494"/>
    </row>
    <row r="9" spans="1:7" ht="24.95" customHeight="1" thickBot="1">
      <c r="A9" s="956" t="s">
        <v>31</v>
      </c>
      <c r="B9" s="957"/>
      <c r="C9" s="627"/>
      <c r="D9" s="628"/>
      <c r="E9" s="568">
        <f>IF(SUM(E4:F6)&lt;=40,SUM(E4:E7),40)</f>
        <v>0</v>
      </c>
      <c r="F9" s="357">
        <v>10</v>
      </c>
      <c r="G9" s="629"/>
    </row>
    <row r="10" spans="1:7" ht="24.95" customHeight="1">
      <c r="A10" s="958"/>
      <c r="B10" s="958"/>
      <c r="C10" s="358"/>
      <c r="D10" s="358"/>
    </row>
    <row r="11" spans="1:7" ht="84.75" customHeight="1">
      <c r="A11" s="959" t="s">
        <v>381</v>
      </c>
      <c r="B11" s="960"/>
      <c r="D11"/>
      <c r="F11" s="165" t="s">
        <v>433</v>
      </c>
    </row>
    <row r="12" spans="1:7" ht="38.25" customHeight="1">
      <c r="F12" s="165" t="s">
        <v>434</v>
      </c>
    </row>
    <row r="13" spans="1:7" ht="24.95" customHeight="1"/>
    <row r="14" spans="1:7" s="140" customFormat="1" ht="32.25" customHeight="1">
      <c r="A14" s="165"/>
      <c r="B14" s="165"/>
      <c r="C14" s="165"/>
      <c r="D14" s="165"/>
      <c r="E14" s="359"/>
      <c r="F14" s="165"/>
      <c r="G14" s="359"/>
    </row>
    <row r="15" spans="1:7" ht="14.25" customHeight="1"/>
    <row r="16" spans="1:7" ht="15.75">
      <c r="A16" s="874"/>
      <c r="B16" s="874"/>
      <c r="C16" s="874"/>
      <c r="D16" s="874"/>
      <c r="E16" s="239"/>
      <c r="G16" s="165"/>
    </row>
    <row r="17" spans="5:7">
      <c r="E17" s="239"/>
      <c r="G17" s="165"/>
    </row>
    <row r="18" spans="5:7">
      <c r="E18" s="239"/>
      <c r="G18" s="165"/>
    </row>
    <row r="19" spans="5:7">
      <c r="E19" s="239"/>
      <c r="G19" s="165"/>
    </row>
    <row r="20" spans="5:7">
      <c r="E20" s="239"/>
      <c r="G20" s="165"/>
    </row>
    <row r="21" spans="5:7">
      <c r="E21" s="239"/>
      <c r="G21" s="165"/>
    </row>
    <row r="22" spans="5:7">
      <c r="E22" s="239"/>
      <c r="G22" s="165"/>
    </row>
    <row r="23" spans="5:7">
      <c r="E23" s="239"/>
    </row>
    <row r="24" spans="5:7">
      <c r="E24" s="239"/>
    </row>
  </sheetData>
  <sheetProtection algorithmName="SHA-512" hashValue="xWISxS7OxqqEwKdtigDYR3jqEIleExLA1PZbo2UuEjrn7ihxzIeRFW93/YyNKfoNpSyBroEEyJ5dsAALgM824g==" saltValue="9PlEjXDpQtu2Juwr7rNR6A==" spinCount="100000" sheet="1" selectLockedCells="1"/>
  <mergeCells count="11">
    <mergeCell ref="C7:D7"/>
    <mergeCell ref="A1:E1"/>
    <mergeCell ref="C3:D3"/>
    <mergeCell ref="C4:D4"/>
    <mergeCell ref="C5:D5"/>
    <mergeCell ref="C6:D6"/>
    <mergeCell ref="C8:D8"/>
    <mergeCell ref="A9:B9"/>
    <mergeCell ref="A10:B10"/>
    <mergeCell ref="A11:B11"/>
    <mergeCell ref="A16:D16"/>
  </mergeCells>
  <dataValidations count="6">
    <dataValidation type="list" allowBlank="1" showInputMessage="1" showErrorMessage="1" errorTitle="Falscher Wert!" error="Bitte geben Sie die Zahl 0 oder 1 ein." sqref="E5" xr:uid="{A7ADBB83-214F-4544-B54B-5202968F61AB}">
      <formula1>$F$6:$F$7</formula1>
    </dataValidation>
    <dataValidation type="list" allowBlank="1" showInputMessage="1" showErrorMessage="1" sqref="D19:D20" xr:uid="{F36FEBA4-6E4D-45B4-B912-2E98DA89EB79}">
      <formula1>$E$4:$E$7</formula1>
    </dataValidation>
    <dataValidation type="list" allowBlank="1" showInputMessage="1" showErrorMessage="1" errorTitle="Falscher Wert!" error="Bitte geben Sie die Zahl 0 oder 1 ein." sqref="E6" xr:uid="{A5437929-B409-40BD-9461-9544C70B2C39}">
      <formula1>$F$8:$F$9</formula1>
    </dataValidation>
    <dataValidation type="list" allowBlank="1" showInputMessage="1" showErrorMessage="1" errorTitle="Falscher Wert!" error="Bitte geben Sie die Zahl 0 oder 1 ein." sqref="E4" xr:uid="{AAC121FB-A03E-4302-8C5B-4951907EB237}">
      <formula1>$F$4:$F$5</formula1>
    </dataValidation>
    <dataValidation type="list" allowBlank="1" showInputMessage="1" showErrorMessage="1" errorTitle="Falscher Wert!" error="Bitte geben Sie die Zahl 0 oder 1 ein." sqref="E8" xr:uid="{C962C51E-DD1F-4BE9-BDB2-699CF8278958}">
      <formula1>$F$11:$F$12</formula1>
    </dataValidation>
    <dataValidation type="list" allowBlank="1" showInputMessage="1" showErrorMessage="1" errorTitle="Falscher Wert!" error="Bitte geben Sie die Zahl 0 oder 1 ein." sqref="E7" xr:uid="{1D5BF93E-8290-4CE5-AAB1-52DB779C7F32}">
      <formula1>$F$11:$F$12</formula1>
    </dataValidation>
  </dataValidations>
  <printOptions horizontalCentered="1"/>
  <pageMargins left="0.59055118110236227" right="0.59055118110236227" top="0.59055118110236227" bottom="0.59055118110236227" header="0.31496062992125984" footer="0.31496062992125984"/>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495B5-5CF1-4D74-8695-B3FBDE212ECD}">
  <dimension ref="A1:J24"/>
  <sheetViews>
    <sheetView showGridLines="0" topLeftCell="C1" zoomScale="115" zoomScaleNormal="115" workbookViewId="0">
      <selection activeCell="I4" sqref="I4"/>
    </sheetView>
  </sheetViews>
  <sheetFormatPr baseColWidth="10" defaultColWidth="11.5703125" defaultRowHeight="12.75"/>
  <cols>
    <col min="1" max="1" width="26" style="347" customWidth="1"/>
    <col min="2" max="2" width="69.42578125" style="347" customWidth="1"/>
    <col min="3" max="3" width="24.42578125" style="347" customWidth="1"/>
    <col min="4" max="4" width="16.5703125" style="347" customWidth="1"/>
    <col min="5" max="5" width="14.85546875" style="630" customWidth="1"/>
    <col min="6" max="8" width="11.42578125" style="347" hidden="1" customWidth="1"/>
    <col min="9" max="9" width="40.85546875" style="544" customWidth="1"/>
    <col min="10" max="16384" width="11.5703125" style="347"/>
  </cols>
  <sheetData>
    <row r="1" spans="1:10" ht="26.45" customHeight="1">
      <c r="A1" s="970" t="s">
        <v>382</v>
      </c>
      <c r="B1" s="970"/>
      <c r="C1" s="970"/>
      <c r="D1" s="970"/>
      <c r="E1" s="970"/>
      <c r="F1" s="970"/>
      <c r="G1" s="970"/>
      <c r="H1" s="970"/>
      <c r="I1" s="970"/>
      <c r="J1" s="970"/>
    </row>
    <row r="2" spans="1:10" ht="13.5" thickBot="1"/>
    <row r="3" spans="1:10" ht="44.25" customHeight="1" thickBot="1">
      <c r="A3" s="631" t="s">
        <v>62</v>
      </c>
      <c r="B3" s="632" t="s">
        <v>76</v>
      </c>
      <c r="C3" s="632" t="s">
        <v>65</v>
      </c>
      <c r="D3" s="583" t="s">
        <v>199</v>
      </c>
      <c r="E3" s="633" t="s">
        <v>63</v>
      </c>
      <c r="I3" s="552" t="s">
        <v>24</v>
      </c>
    </row>
    <row r="4" spans="1:10" ht="25.5">
      <c r="A4" s="971" t="s">
        <v>383</v>
      </c>
      <c r="B4" s="634" t="s">
        <v>258</v>
      </c>
      <c r="C4" s="635"/>
      <c r="D4" s="636">
        <v>6</v>
      </c>
      <c r="E4" s="972"/>
      <c r="F4" s="974">
        <v>0</v>
      </c>
      <c r="G4" s="975">
        <v>3</v>
      </c>
      <c r="H4" s="976">
        <v>6</v>
      </c>
      <c r="I4" s="492"/>
    </row>
    <row r="5" spans="1:10" ht="38.25">
      <c r="A5" s="967"/>
      <c r="B5" s="496" t="s">
        <v>259</v>
      </c>
      <c r="C5" s="348"/>
      <c r="D5" s="349">
        <v>3</v>
      </c>
      <c r="E5" s="972"/>
      <c r="F5" s="974"/>
      <c r="G5" s="975"/>
      <c r="H5" s="976"/>
      <c r="I5" s="492"/>
    </row>
    <row r="6" spans="1:10" ht="26.1" customHeight="1">
      <c r="A6" s="967"/>
      <c r="B6" s="348" t="s">
        <v>80</v>
      </c>
      <c r="C6" s="348"/>
      <c r="D6" s="349">
        <v>0</v>
      </c>
      <c r="E6" s="973"/>
      <c r="F6" s="974"/>
      <c r="G6" s="975"/>
      <c r="H6" s="976"/>
      <c r="I6" s="492"/>
    </row>
    <row r="7" spans="1:10" ht="26.1" customHeight="1">
      <c r="A7" s="967"/>
      <c r="B7" s="536" t="s">
        <v>81</v>
      </c>
      <c r="C7" s="536"/>
      <c r="D7" s="534" t="s">
        <v>82</v>
      </c>
      <c r="E7" s="350">
        <f>SUM(E4:E6)</f>
        <v>0</v>
      </c>
      <c r="I7" s="492"/>
    </row>
    <row r="8" spans="1:10" ht="26.1" customHeight="1">
      <c r="A8" s="967" t="s">
        <v>83</v>
      </c>
      <c r="B8" s="348" t="s">
        <v>384</v>
      </c>
      <c r="C8" s="351" t="s">
        <v>84</v>
      </c>
      <c r="D8" s="352">
        <v>3</v>
      </c>
      <c r="E8" s="353"/>
      <c r="F8" s="347">
        <v>0</v>
      </c>
      <c r="G8" s="347">
        <v>3</v>
      </c>
      <c r="I8" s="492"/>
    </row>
    <row r="9" spans="1:10" ht="26.1" customHeight="1">
      <c r="A9" s="967"/>
      <c r="B9" s="536" t="s">
        <v>85</v>
      </c>
      <c r="C9" s="536"/>
      <c r="D9" s="537" t="s">
        <v>86</v>
      </c>
      <c r="E9" s="350">
        <f>E8</f>
        <v>0</v>
      </c>
      <c r="I9" s="492"/>
    </row>
    <row r="10" spans="1:10" ht="39" customHeight="1">
      <c r="A10" s="967" t="s">
        <v>87</v>
      </c>
      <c r="B10" s="348" t="s">
        <v>385</v>
      </c>
      <c r="C10" s="348" t="s">
        <v>88</v>
      </c>
      <c r="D10" s="349">
        <v>2</v>
      </c>
      <c r="E10" s="353"/>
      <c r="F10" s="347">
        <v>0</v>
      </c>
      <c r="G10" s="347">
        <v>2</v>
      </c>
      <c r="I10" s="492"/>
    </row>
    <row r="11" spans="1:10" ht="26.1" customHeight="1" thickBot="1">
      <c r="A11" s="968"/>
      <c r="B11" s="637" t="s">
        <v>89</v>
      </c>
      <c r="C11" s="637"/>
      <c r="D11" s="534" t="s">
        <v>90</v>
      </c>
      <c r="E11" s="595">
        <f>E10</f>
        <v>0</v>
      </c>
      <c r="I11" s="492"/>
    </row>
    <row r="12" spans="1:10" ht="26.1" customHeight="1" thickBot="1">
      <c r="A12" s="638" t="s">
        <v>31</v>
      </c>
      <c r="B12" s="639"/>
      <c r="C12" s="640"/>
      <c r="D12" s="639"/>
      <c r="E12" s="641">
        <f>IF(SUM(E7,E9,E11)&lt;10,SUM(E7,E9,E11),10)</f>
        <v>0</v>
      </c>
      <c r="I12" s="969"/>
    </row>
    <row r="13" spans="1:10">
      <c r="A13" s="354"/>
      <c r="I13" s="969"/>
    </row>
    <row r="14" spans="1:10">
      <c r="I14" s="543"/>
    </row>
    <row r="15" spans="1:10">
      <c r="I15" s="543"/>
    </row>
    <row r="16" spans="1:10">
      <c r="I16" s="543"/>
    </row>
    <row r="17" spans="9:9">
      <c r="I17" s="543"/>
    </row>
    <row r="18" spans="9:9">
      <c r="I18" s="543"/>
    </row>
    <row r="19" spans="9:9">
      <c r="I19" s="543"/>
    </row>
    <row r="20" spans="9:9">
      <c r="I20" s="543"/>
    </row>
    <row r="21" spans="9:9">
      <c r="I21" s="543"/>
    </row>
    <row r="22" spans="9:9">
      <c r="I22" s="543"/>
    </row>
    <row r="23" spans="9:9">
      <c r="I23" s="543"/>
    </row>
    <row r="24" spans="9:9" ht="15">
      <c r="I24" s="615"/>
    </row>
  </sheetData>
  <sheetProtection algorithmName="SHA-512" hashValue="VY0+aRdm3PpcK/AdAgP1lAX0IjG/Y4XwytMJOyo5sQkE+PIUscfITajjcM1Ohao8cOrQuPEEpT5rLC6Z+x0THA==" saltValue="04Y1VpF6wFgv1U0A8oMhlg==" spinCount="100000" sheet="1" selectLockedCells="1"/>
  <mergeCells count="9">
    <mergeCell ref="A8:A9"/>
    <mergeCell ref="A10:A11"/>
    <mergeCell ref="I12:I13"/>
    <mergeCell ref="A1:J1"/>
    <mergeCell ref="A4:A7"/>
    <mergeCell ref="E4:E6"/>
    <mergeCell ref="F4:F6"/>
    <mergeCell ref="G4:G6"/>
    <mergeCell ref="H4:H6"/>
  </mergeCells>
  <dataValidations count="3">
    <dataValidation type="list" allowBlank="1" showInputMessage="1" showErrorMessage="1" sqref="E8" xr:uid="{06A1AEF3-607B-47FA-9253-5102B3408A88}">
      <formula1>$F$8:$G$8</formula1>
    </dataValidation>
    <dataValidation type="list" allowBlank="1" showInputMessage="1" showErrorMessage="1" sqref="E10" xr:uid="{28CD60C8-C106-4F81-89FD-ABA7DCF92A60}">
      <formula1>$F$10:$G$10</formula1>
    </dataValidation>
    <dataValidation type="list" allowBlank="1" showInputMessage="1" showErrorMessage="1" sqref="E4:E6" xr:uid="{14E6AACD-B6A1-480D-A6E1-0B2B1488AA4B}">
      <formula1>$F$4:$H$4</formula1>
    </dataValidation>
  </dataValidations>
  <pageMargins left="0.7" right="0.7" top="0.78740157499999996" bottom="0.78740157499999996"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D97D-C42E-44A3-BE59-803D0C00CB33}">
  <sheetPr>
    <pageSetUpPr fitToPage="1"/>
  </sheetPr>
  <dimension ref="A1:G15"/>
  <sheetViews>
    <sheetView showGridLines="0" zoomScale="64" zoomScaleNormal="115" workbookViewId="0">
      <selection activeCell="D4" sqref="D4"/>
    </sheetView>
  </sheetViews>
  <sheetFormatPr baseColWidth="10" defaultColWidth="11.42578125" defaultRowHeight="12.75"/>
  <cols>
    <col min="1" max="1" width="37.42578125" style="165" customWidth="1"/>
    <col min="2" max="2" width="81.7109375" style="165" customWidth="1"/>
    <col min="3" max="3" width="11.7109375" style="165" customWidth="1"/>
    <col min="4" max="4" width="14.28515625" style="359" customWidth="1"/>
    <col min="5" max="5" width="14.7109375" style="165" hidden="1" customWidth="1"/>
    <col min="6" max="6" width="30.7109375" style="359" customWidth="1"/>
    <col min="7" max="8" width="0" style="165" hidden="1" customWidth="1"/>
    <col min="9" max="16384" width="11.42578125" style="165"/>
  </cols>
  <sheetData>
    <row r="1" spans="1:7" ht="24.75" customHeight="1">
      <c r="A1" s="874" t="s">
        <v>386</v>
      </c>
      <c r="B1" s="874"/>
      <c r="C1" s="874"/>
      <c r="D1" s="874"/>
    </row>
    <row r="2" spans="1:7" ht="7.5" customHeight="1" thickBot="1">
      <c r="A2" s="176"/>
      <c r="B2" s="176"/>
      <c r="C2" s="176"/>
      <c r="D2" s="187"/>
    </row>
    <row r="3" spans="1:7" s="144" customFormat="1" ht="50.25" customHeight="1" thickBot="1">
      <c r="A3" s="617" t="s">
        <v>62</v>
      </c>
      <c r="B3" s="618" t="s">
        <v>76</v>
      </c>
      <c r="C3" s="619" t="s">
        <v>91</v>
      </c>
      <c r="D3" s="620" t="s">
        <v>63</v>
      </c>
      <c r="F3" s="621" t="s">
        <v>24</v>
      </c>
    </row>
    <row r="4" spans="1:7" ht="44.45" customHeight="1">
      <c r="A4" s="337" t="s">
        <v>247</v>
      </c>
      <c r="B4" s="221" t="s">
        <v>260</v>
      </c>
      <c r="C4" s="356">
        <v>5</v>
      </c>
      <c r="D4" s="232"/>
      <c r="E4" s="357">
        <v>0</v>
      </c>
      <c r="F4" s="494"/>
    </row>
    <row r="5" spans="1:7" ht="45.75" customHeight="1" thickBot="1">
      <c r="A5" s="642" t="s">
        <v>248</v>
      </c>
      <c r="B5" s="643" t="s">
        <v>249</v>
      </c>
      <c r="C5" s="356">
        <v>7</v>
      </c>
      <c r="D5" s="547"/>
      <c r="E5" s="165">
        <v>5</v>
      </c>
      <c r="F5" s="494"/>
    </row>
    <row r="6" spans="1:7" ht="24.95" customHeight="1" thickBot="1">
      <c r="A6" s="956" t="s">
        <v>31</v>
      </c>
      <c r="B6" s="957"/>
      <c r="C6" s="627"/>
      <c r="D6" s="568">
        <f>IF(SUM(D4:D5)&gt;10,10,SUM(D4:D5))</f>
        <v>0</v>
      </c>
      <c r="E6" s="357">
        <v>0</v>
      </c>
      <c r="F6" s="629"/>
    </row>
    <row r="7" spans="1:7" ht="24.95" customHeight="1">
      <c r="A7" s="958"/>
      <c r="B7" s="958"/>
      <c r="C7" s="358"/>
      <c r="E7" s="165">
        <v>7</v>
      </c>
    </row>
    <row r="8" spans="1:7" ht="70.5" customHeight="1">
      <c r="A8" s="977" t="s">
        <v>387</v>
      </c>
      <c r="B8" s="960"/>
      <c r="C8"/>
    </row>
    <row r="9" spans="1:7" ht="38.25" customHeight="1">
      <c r="A9" s="644" t="s">
        <v>388</v>
      </c>
      <c r="B9" s="645" t="s">
        <v>389</v>
      </c>
      <c r="G9" s="347" t="s">
        <v>389</v>
      </c>
    </row>
    <row r="10" spans="1:7" ht="24.95" customHeight="1">
      <c r="A10" s="644" t="s">
        <v>390</v>
      </c>
      <c r="B10" s="646"/>
      <c r="G10" s="347" t="s">
        <v>391</v>
      </c>
    </row>
    <row r="11" spans="1:7" s="140" customFormat="1" ht="32.25" customHeight="1">
      <c r="A11" s="644" t="s">
        <v>392</v>
      </c>
      <c r="B11" s="646"/>
      <c r="C11" s="165"/>
      <c r="D11" s="359"/>
      <c r="E11" s="165"/>
      <c r="F11" s="359"/>
    </row>
    <row r="12" spans="1:7" ht="14.25" customHeight="1">
      <c r="A12" s="644" t="s">
        <v>393</v>
      </c>
      <c r="B12" s="646"/>
      <c r="G12" s="347">
        <v>5</v>
      </c>
    </row>
    <row r="13" spans="1:7">
      <c r="A13" s="644" t="s">
        <v>394</v>
      </c>
      <c r="B13" s="646"/>
      <c r="G13" s="347">
        <v>7</v>
      </c>
    </row>
    <row r="14" spans="1:7">
      <c r="A14" s="644" t="s">
        <v>395</v>
      </c>
      <c r="B14" s="646"/>
    </row>
    <row r="15" spans="1:7">
      <c r="A15" s="644" t="s">
        <v>396</v>
      </c>
      <c r="B15" s="647">
        <f>IF(B9="Bewässerung/WCs",(B10*2*(B11*30+B12*10)+B13*40),B14*40)</f>
        <v>0</v>
      </c>
    </row>
  </sheetData>
  <sheetProtection algorithmName="SHA-512" hashValue="+xlqKEGOI3jZcV8rX8swm2g+GYdzZvOJYMOVOikq5+Rlc7acV2fagnk7DWdfoPQxXrSEoJnRMXQ+B/sVf6OLsQ==" saltValue="npRcfoukVn494y2ukEDL0A==" spinCount="100000" sheet="1" selectLockedCells="1"/>
  <mergeCells count="4">
    <mergeCell ref="A1:D1"/>
    <mergeCell ref="A6:B6"/>
    <mergeCell ref="A7:B7"/>
    <mergeCell ref="A8:B8"/>
  </mergeCells>
  <dataValidations count="4">
    <dataValidation type="list" allowBlank="1" showInputMessage="1" showErrorMessage="1" sqref="B9" xr:uid="{637A4EC0-69B7-40D4-8229-827895407674}">
      <formula1>$G$9:$G$10</formula1>
    </dataValidation>
    <dataValidation type="list" allowBlank="1" showInputMessage="1" showErrorMessage="1" sqref="B10" xr:uid="{B3380827-F678-48B7-B976-AB4F30FD9450}">
      <formula1>$G$12:$G$13</formula1>
    </dataValidation>
    <dataValidation type="list" allowBlank="1" showInputMessage="1" showErrorMessage="1" errorTitle="Falscher Wert!" error="Bitte geben Sie die Zahl 0 oder 1 ein." sqref="D4" xr:uid="{4FD754D9-05A7-4387-9C0D-2E543632814F}">
      <formula1>$E$4:$E$5</formula1>
    </dataValidation>
    <dataValidation type="list" allowBlank="1" showInputMessage="1" showErrorMessage="1" errorTitle="Falscher Wert!" error="Bitte geben Sie die Zahl 0 oder 1 ein." sqref="D5" xr:uid="{BE1154BD-A325-416D-8D69-02BA5884199A}">
      <formula1>$E$6:$E$7</formula1>
    </dataValidation>
  </dataValidations>
  <printOptions horizontalCentered="1"/>
  <pageMargins left="0.59055118110236227" right="0.59055118110236227" top="0.59055118110236227" bottom="0.59055118110236227" header="0.31496062992125984" footer="0.31496062992125984"/>
  <pageSetup paperSize="9" scale="7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pageSetUpPr fitToPage="1"/>
  </sheetPr>
  <dimension ref="A1:H155"/>
  <sheetViews>
    <sheetView showGridLines="0" zoomScale="115" zoomScaleNormal="115" workbookViewId="0">
      <pane ySplit="2" topLeftCell="A3" activePane="bottomLeft" state="frozen"/>
      <selection activeCell="D2" sqref="D2:H2"/>
      <selection pane="bottomLeft" activeCell="E21" sqref="E21"/>
    </sheetView>
  </sheetViews>
  <sheetFormatPr baseColWidth="10" defaultColWidth="11.42578125" defaultRowHeight="15"/>
  <cols>
    <col min="1" max="1" width="11.42578125" style="154"/>
    <col min="2" max="2" width="51" style="154" bestFit="1" customWidth="1"/>
    <col min="3" max="4" width="11.42578125" style="139"/>
    <col min="5" max="5" width="31.42578125" style="146" customWidth="1"/>
    <col min="6" max="6" width="11.42578125" style="146"/>
    <col min="7" max="7" width="65.7109375" style="151" customWidth="1"/>
    <col min="8" max="8" width="2.7109375" style="151" customWidth="1"/>
    <col min="9" max="16384" width="11.42578125" style="151"/>
  </cols>
  <sheetData>
    <row r="1" spans="1:8" ht="15.75">
      <c r="A1" s="874" t="s">
        <v>92</v>
      </c>
      <c r="B1" s="874"/>
      <c r="C1" s="874"/>
      <c r="H1" s="141"/>
    </row>
    <row r="2" spans="1:8" ht="15.75">
      <c r="A2" s="168"/>
      <c r="B2" s="168"/>
      <c r="C2" s="168"/>
      <c r="H2" s="141"/>
    </row>
    <row r="3" spans="1:8" ht="15.75" thickBot="1">
      <c r="H3" s="141"/>
    </row>
    <row r="4" spans="1:8" ht="43.5">
      <c r="A4" s="980" t="s">
        <v>271</v>
      </c>
      <c r="B4" s="981"/>
      <c r="C4" s="982"/>
      <c r="D4" s="287"/>
      <c r="E4" s="288" t="s">
        <v>93</v>
      </c>
      <c r="F4" s="289"/>
      <c r="G4" s="149" t="s">
        <v>94</v>
      </c>
      <c r="H4" s="141"/>
    </row>
    <row r="5" spans="1:8">
      <c r="A5" s="501" t="s">
        <v>95</v>
      </c>
      <c r="B5" s="502"/>
      <c r="C5" s="290">
        <v>1.05</v>
      </c>
      <c r="D5" s="291"/>
      <c r="E5" s="292"/>
      <c r="F5" s="293"/>
      <c r="G5" s="507" t="s">
        <v>272</v>
      </c>
      <c r="H5" s="141"/>
    </row>
    <row r="6" spans="1:8">
      <c r="A6" s="294"/>
      <c r="B6" s="143" t="s">
        <v>273</v>
      </c>
      <c r="C6" s="295"/>
      <c r="D6" s="290">
        <v>0</v>
      </c>
      <c r="E6" s="104"/>
      <c r="F6" s="296">
        <f>E6*D6*$C$5</f>
        <v>0</v>
      </c>
      <c r="G6" s="508"/>
      <c r="H6" s="141"/>
    </row>
    <row r="7" spans="1:8">
      <c r="A7" s="297"/>
      <c r="B7" s="143" t="s">
        <v>97</v>
      </c>
      <c r="C7" s="298"/>
      <c r="D7" s="290">
        <v>0</v>
      </c>
      <c r="E7" s="104"/>
      <c r="F7" s="296">
        <f>E7*D7*$C$5</f>
        <v>0</v>
      </c>
      <c r="G7" s="508"/>
      <c r="H7" s="141"/>
    </row>
    <row r="8" spans="1:8">
      <c r="A8" s="297"/>
      <c r="B8" s="143" t="s">
        <v>98</v>
      </c>
      <c r="C8" s="298"/>
      <c r="D8" s="290">
        <v>0</v>
      </c>
      <c r="E8" s="104"/>
      <c r="F8" s="296">
        <f>E8*D8*$C$5</f>
        <v>0</v>
      </c>
      <c r="G8" s="508"/>
      <c r="H8" s="141"/>
    </row>
    <row r="9" spans="1:8">
      <c r="A9" s="299"/>
      <c r="B9" s="143" t="s">
        <v>99</v>
      </c>
      <c r="C9" s="300"/>
      <c r="D9" s="290">
        <v>0</v>
      </c>
      <c r="E9" s="104"/>
      <c r="F9" s="296">
        <f>E9*D9*$C$5</f>
        <v>0</v>
      </c>
      <c r="G9" s="508"/>
      <c r="H9" s="141"/>
    </row>
    <row r="10" spans="1:8">
      <c r="A10" s="501" t="s">
        <v>100</v>
      </c>
      <c r="B10" s="502"/>
      <c r="C10" s="301">
        <v>0</v>
      </c>
      <c r="D10" s="302"/>
      <c r="E10" s="292"/>
      <c r="F10" s="293"/>
      <c r="G10" s="508"/>
      <c r="H10" s="141"/>
    </row>
    <row r="11" spans="1:8">
      <c r="A11" s="303"/>
      <c r="B11" s="153" t="s">
        <v>101</v>
      </c>
      <c r="C11" s="295"/>
      <c r="D11" s="290">
        <v>0</v>
      </c>
      <c r="E11" s="104"/>
      <c r="F11" s="296">
        <f>E11*D11*$C$10</f>
        <v>0</v>
      </c>
      <c r="G11" s="508"/>
      <c r="H11" s="141"/>
    </row>
    <row r="12" spans="1:8">
      <c r="A12" s="304"/>
      <c r="B12" s="153" t="s">
        <v>102</v>
      </c>
      <c r="C12" s="298"/>
      <c r="D12" s="290">
        <v>0</v>
      </c>
      <c r="E12" s="676"/>
      <c r="F12" s="296">
        <f t="shared" ref="F12:F15" si="0">E12*D12*$C$10</f>
        <v>0</v>
      </c>
      <c r="G12" s="508"/>
      <c r="H12" s="141"/>
    </row>
    <row r="13" spans="1:8">
      <c r="A13" s="304"/>
      <c r="B13" s="153" t="s">
        <v>103</v>
      </c>
      <c r="C13" s="298"/>
      <c r="D13" s="290">
        <v>0</v>
      </c>
      <c r="E13" s="104"/>
      <c r="F13" s="296">
        <f t="shared" si="0"/>
        <v>0</v>
      </c>
      <c r="G13" s="508"/>
      <c r="H13" s="141"/>
    </row>
    <row r="14" spans="1:8">
      <c r="A14" s="304"/>
      <c r="B14" s="153" t="s">
        <v>104</v>
      </c>
      <c r="C14" s="298"/>
      <c r="D14" s="290">
        <v>0</v>
      </c>
      <c r="E14" s="104"/>
      <c r="F14" s="296">
        <f t="shared" si="0"/>
        <v>0</v>
      </c>
      <c r="G14" s="508"/>
      <c r="H14" s="141"/>
    </row>
    <row r="15" spans="1:8">
      <c r="A15" s="305"/>
      <c r="B15" s="153" t="s">
        <v>105</v>
      </c>
      <c r="C15" s="300"/>
      <c r="D15" s="290">
        <v>0</v>
      </c>
      <c r="E15" s="676"/>
      <c r="F15" s="296">
        <f t="shared" si="0"/>
        <v>0</v>
      </c>
      <c r="G15" s="509"/>
      <c r="H15" s="141"/>
    </row>
    <row r="16" spans="1:8">
      <c r="A16" s="501" t="s">
        <v>106</v>
      </c>
      <c r="B16" s="502"/>
      <c r="C16" s="306">
        <v>0</v>
      </c>
      <c r="D16" s="307"/>
      <c r="E16" s="292"/>
      <c r="F16" s="293"/>
      <c r="G16" s="509"/>
      <c r="H16" s="141"/>
    </row>
    <row r="17" spans="1:8">
      <c r="A17" s="303"/>
      <c r="B17" s="153" t="s">
        <v>107</v>
      </c>
      <c r="C17" s="295"/>
      <c r="D17" s="290">
        <v>0</v>
      </c>
      <c r="E17" s="676"/>
      <c r="F17" s="296">
        <f>E17*D17*$C$16</f>
        <v>0</v>
      </c>
      <c r="G17" s="509"/>
      <c r="H17" s="141"/>
    </row>
    <row r="18" spans="1:8">
      <c r="A18" s="304"/>
      <c r="B18" s="153" t="s">
        <v>108</v>
      </c>
      <c r="C18" s="298"/>
      <c r="D18" s="290">
        <v>0</v>
      </c>
      <c r="E18" s="104"/>
      <c r="F18" s="296">
        <f t="shared" ref="F18:F34" si="1">E18*D18*$C$16</f>
        <v>0</v>
      </c>
      <c r="G18" s="509"/>
      <c r="H18" s="141"/>
    </row>
    <row r="19" spans="1:8">
      <c r="A19" s="304"/>
      <c r="B19" s="143" t="s">
        <v>109</v>
      </c>
      <c r="C19" s="298"/>
      <c r="D19" s="308">
        <v>0</v>
      </c>
      <c r="E19" s="676"/>
      <c r="F19" s="296">
        <f t="shared" si="1"/>
        <v>0</v>
      </c>
      <c r="G19" s="509"/>
      <c r="H19" s="141"/>
    </row>
    <row r="20" spans="1:8">
      <c r="A20" s="304"/>
      <c r="B20" s="155" t="s">
        <v>110</v>
      </c>
      <c r="C20" s="298"/>
      <c r="D20" s="308">
        <v>0</v>
      </c>
      <c r="E20" s="104"/>
      <c r="F20" s="296">
        <f t="shared" si="1"/>
        <v>0</v>
      </c>
      <c r="G20" s="509"/>
      <c r="H20" s="141"/>
    </row>
    <row r="21" spans="1:8">
      <c r="A21" s="304"/>
      <c r="B21" s="155" t="s">
        <v>111</v>
      </c>
      <c r="C21" s="298"/>
      <c r="D21" s="308">
        <v>0</v>
      </c>
      <c r="E21" s="104"/>
      <c r="F21" s="296">
        <f t="shared" si="1"/>
        <v>0</v>
      </c>
      <c r="G21" s="509"/>
      <c r="H21" s="141"/>
    </row>
    <row r="22" spans="1:8">
      <c r="A22" s="304"/>
      <c r="B22" s="155" t="s">
        <v>112</v>
      </c>
      <c r="C22" s="298"/>
      <c r="D22" s="308">
        <v>0</v>
      </c>
      <c r="E22" s="104"/>
      <c r="F22" s="296">
        <f t="shared" si="1"/>
        <v>0</v>
      </c>
      <c r="G22" s="509"/>
      <c r="H22" s="141"/>
    </row>
    <row r="23" spans="1:8">
      <c r="A23" s="304"/>
      <c r="B23" s="155" t="s">
        <v>113</v>
      </c>
      <c r="C23" s="298"/>
      <c r="D23" s="308">
        <v>0</v>
      </c>
      <c r="E23" s="676"/>
      <c r="F23" s="296">
        <f t="shared" si="1"/>
        <v>0</v>
      </c>
      <c r="G23" s="509"/>
      <c r="H23" s="141"/>
    </row>
    <row r="24" spans="1:8">
      <c r="A24" s="304"/>
      <c r="B24" s="155" t="s">
        <v>114</v>
      </c>
      <c r="C24" s="298"/>
      <c r="D24" s="308">
        <v>0</v>
      </c>
      <c r="E24" s="104"/>
      <c r="F24" s="296">
        <f t="shared" si="1"/>
        <v>0</v>
      </c>
      <c r="G24" s="509"/>
      <c r="H24" s="141"/>
    </row>
    <row r="25" spans="1:8">
      <c r="A25" s="304"/>
      <c r="B25" s="155" t="s">
        <v>115</v>
      </c>
      <c r="C25" s="298"/>
      <c r="D25" s="308">
        <v>0</v>
      </c>
      <c r="E25" s="104"/>
      <c r="F25" s="296">
        <f t="shared" si="1"/>
        <v>0</v>
      </c>
      <c r="G25" s="509"/>
      <c r="H25" s="141"/>
    </row>
    <row r="26" spans="1:8">
      <c r="A26" s="304"/>
      <c r="B26" s="155" t="s">
        <v>116</v>
      </c>
      <c r="C26" s="298"/>
      <c r="D26" s="308">
        <v>0</v>
      </c>
      <c r="E26" s="104"/>
      <c r="F26" s="296">
        <f t="shared" si="1"/>
        <v>0</v>
      </c>
      <c r="G26" s="509"/>
      <c r="H26" s="141"/>
    </row>
    <row r="27" spans="1:8">
      <c r="A27" s="304"/>
      <c r="B27" s="155" t="s">
        <v>117</v>
      </c>
      <c r="C27" s="298"/>
      <c r="D27" s="308">
        <v>0</v>
      </c>
      <c r="E27" s="104"/>
      <c r="F27" s="296">
        <f t="shared" si="1"/>
        <v>0</v>
      </c>
      <c r="G27" s="509"/>
      <c r="H27" s="141"/>
    </row>
    <row r="28" spans="1:8">
      <c r="A28" s="304"/>
      <c r="B28" s="155" t="s">
        <v>118</v>
      </c>
      <c r="C28" s="298"/>
      <c r="D28" s="308">
        <v>0</v>
      </c>
      <c r="E28" s="104"/>
      <c r="F28" s="296">
        <f t="shared" si="1"/>
        <v>0</v>
      </c>
      <c r="G28" s="509"/>
      <c r="H28" s="141"/>
    </row>
    <row r="29" spans="1:8">
      <c r="A29" s="304"/>
      <c r="B29" s="155" t="s">
        <v>119</v>
      </c>
      <c r="C29" s="298"/>
      <c r="D29" s="308">
        <v>0</v>
      </c>
      <c r="E29" s="104"/>
      <c r="F29" s="296">
        <f t="shared" si="1"/>
        <v>0</v>
      </c>
      <c r="G29" s="509"/>
      <c r="H29" s="141"/>
    </row>
    <row r="30" spans="1:8">
      <c r="A30" s="304"/>
      <c r="B30" s="155" t="s">
        <v>120</v>
      </c>
      <c r="C30" s="298"/>
      <c r="D30" s="308">
        <v>0</v>
      </c>
      <c r="E30" s="676"/>
      <c r="F30" s="296">
        <f t="shared" si="1"/>
        <v>0</v>
      </c>
      <c r="G30" s="509"/>
      <c r="H30" s="141"/>
    </row>
    <row r="31" spans="1:8">
      <c r="A31" s="304"/>
      <c r="B31" s="155" t="s">
        <v>121</v>
      </c>
      <c r="C31" s="298"/>
      <c r="D31" s="308">
        <v>0</v>
      </c>
      <c r="E31" s="676"/>
      <c r="F31" s="296">
        <f t="shared" si="1"/>
        <v>0</v>
      </c>
      <c r="G31" s="509"/>
      <c r="H31" s="141"/>
    </row>
    <row r="32" spans="1:8">
      <c r="A32" s="304"/>
      <c r="B32" s="155" t="s">
        <v>122</v>
      </c>
      <c r="C32" s="298"/>
      <c r="D32" s="308">
        <v>0</v>
      </c>
      <c r="E32" s="676"/>
      <c r="F32" s="296">
        <f t="shared" si="1"/>
        <v>0</v>
      </c>
      <c r="G32" s="509"/>
      <c r="H32" s="141"/>
    </row>
    <row r="33" spans="1:8">
      <c r="A33" s="304"/>
      <c r="B33" s="155" t="s">
        <v>123</v>
      </c>
      <c r="C33" s="298"/>
      <c r="D33" s="308">
        <v>0</v>
      </c>
      <c r="E33" s="676"/>
      <c r="F33" s="296">
        <f t="shared" si="1"/>
        <v>0</v>
      </c>
      <c r="G33" s="509"/>
      <c r="H33" s="141"/>
    </row>
    <row r="34" spans="1:8">
      <c r="A34" s="305"/>
      <c r="B34" s="153" t="s">
        <v>124</v>
      </c>
      <c r="C34" s="300"/>
      <c r="D34" s="290">
        <v>0</v>
      </c>
      <c r="E34" s="104"/>
      <c r="F34" s="296">
        <f t="shared" si="1"/>
        <v>0</v>
      </c>
      <c r="G34" s="509"/>
      <c r="H34" s="141"/>
    </row>
    <row r="35" spans="1:8">
      <c r="A35" s="501" t="s">
        <v>125</v>
      </c>
      <c r="B35" s="502"/>
      <c r="C35" s="301">
        <v>0</v>
      </c>
      <c r="D35" s="302"/>
      <c r="E35" s="292"/>
      <c r="F35" s="293"/>
      <c r="G35" s="509"/>
      <c r="H35" s="141"/>
    </row>
    <row r="36" spans="1:8">
      <c r="A36" s="303"/>
      <c r="B36" s="153" t="s">
        <v>126</v>
      </c>
      <c r="C36" s="295"/>
      <c r="D36" s="290">
        <v>0</v>
      </c>
      <c r="E36" s="676"/>
      <c r="F36" s="296">
        <f>E36*D36*$C$35</f>
        <v>0</v>
      </c>
      <c r="G36" s="509"/>
      <c r="H36" s="141"/>
    </row>
    <row r="37" spans="1:8">
      <c r="A37" s="305"/>
      <c r="B37" s="153" t="s">
        <v>127</v>
      </c>
      <c r="C37" s="300"/>
      <c r="D37" s="290">
        <v>0</v>
      </c>
      <c r="E37" s="676"/>
      <c r="F37" s="296">
        <f>E37*D37*$C$35</f>
        <v>0</v>
      </c>
      <c r="G37" s="509"/>
      <c r="H37" s="147"/>
    </row>
    <row r="38" spans="1:8" s="142" customFormat="1" ht="24.95" customHeight="1" thickBot="1">
      <c r="A38" s="503" t="s">
        <v>31</v>
      </c>
      <c r="B38" s="504"/>
      <c r="C38" s="243">
        <f>SUM(C5:C37)</f>
        <v>1.05</v>
      </c>
      <c r="D38" s="505" t="s">
        <v>128</v>
      </c>
      <c r="E38" s="506"/>
      <c r="F38" s="244">
        <f>IF((SUM(F6:F37))&lt;=5,ROUND(SUM(F6:F37)*330/5,0),330)</f>
        <v>0</v>
      </c>
      <c r="G38" s="246" t="str">
        <f>IF(F38&lt;295*0.25,"sehr geringer Erfüllungsgrad", IF(F38&lt;295*0.45,"geringer Erfüllungsgrad",IF(F38&lt;295*0.65,"mittlerer Erfüllungsgrad", IF(F38&lt;295*0.85,"hoher Erfüllungsgrad", IF(F38&gt;=295*0.85,"sehr hoher Erfüllungsgrad",)))))</f>
        <v>sehr geringer Erfüllungsgrad</v>
      </c>
      <c r="H38" s="245"/>
    </row>
    <row r="39" spans="1:8">
      <c r="H39" s="141"/>
    </row>
    <row r="40" spans="1:8">
      <c r="H40" s="141"/>
    </row>
    <row r="41" spans="1:8">
      <c r="H41" s="141"/>
    </row>
    <row r="42" spans="1:8" ht="15.75" thickBot="1">
      <c r="H42" s="141"/>
    </row>
    <row r="43" spans="1:8" ht="43.5">
      <c r="A43" s="983" t="s">
        <v>269</v>
      </c>
      <c r="B43" s="984"/>
      <c r="C43" s="985"/>
      <c r="D43" s="287"/>
      <c r="E43" s="288" t="s">
        <v>93</v>
      </c>
      <c r="F43" s="289"/>
      <c r="G43" s="149" t="s">
        <v>94</v>
      </c>
      <c r="H43" s="141"/>
    </row>
    <row r="44" spans="1:8">
      <c r="A44" s="501" t="s">
        <v>95</v>
      </c>
      <c r="B44" s="502"/>
      <c r="C44" s="290">
        <v>1.05</v>
      </c>
      <c r="D44" s="291"/>
      <c r="E44" s="292"/>
      <c r="F44" s="293"/>
      <c r="G44" s="240"/>
      <c r="H44" s="141"/>
    </row>
    <row r="45" spans="1:8">
      <c r="A45" s="294"/>
      <c r="B45" s="143" t="s">
        <v>96</v>
      </c>
      <c r="C45" s="295"/>
      <c r="D45" s="290">
        <v>0</v>
      </c>
      <c r="E45" s="104"/>
      <c r="F45" s="296">
        <f>E45*D45*$C$44</f>
        <v>0</v>
      </c>
      <c r="G45" s="241"/>
      <c r="H45" s="141"/>
    </row>
    <row r="46" spans="1:8">
      <c r="A46" s="297"/>
      <c r="B46" s="143" t="s">
        <v>97</v>
      </c>
      <c r="C46" s="298"/>
      <c r="D46" s="290">
        <v>0</v>
      </c>
      <c r="E46" s="104"/>
      <c r="F46" s="296">
        <f>E46*D46*$C$44</f>
        <v>0</v>
      </c>
      <c r="G46" s="241"/>
      <c r="H46" s="141"/>
    </row>
    <row r="47" spans="1:8">
      <c r="A47" s="297"/>
      <c r="B47" s="143" t="s">
        <v>98</v>
      </c>
      <c r="C47" s="298"/>
      <c r="D47" s="290">
        <v>0</v>
      </c>
      <c r="E47" s="104"/>
      <c r="F47" s="296">
        <f>E47*D47*$C$44</f>
        <v>0</v>
      </c>
      <c r="G47" s="241"/>
      <c r="H47" s="141"/>
    </row>
    <row r="48" spans="1:8">
      <c r="A48" s="299"/>
      <c r="B48" s="143" t="s">
        <v>99</v>
      </c>
      <c r="C48" s="300"/>
      <c r="D48" s="290">
        <v>0</v>
      </c>
      <c r="E48" s="104"/>
      <c r="F48" s="296">
        <f>E48*D48*$C$44</f>
        <v>0</v>
      </c>
      <c r="G48" s="241"/>
      <c r="H48" s="141"/>
    </row>
    <row r="49" spans="1:8">
      <c r="A49" s="501" t="s">
        <v>100</v>
      </c>
      <c r="B49" s="502"/>
      <c r="C49" s="301">
        <v>0</v>
      </c>
      <c r="D49" s="302"/>
      <c r="E49" s="292"/>
      <c r="F49" s="293"/>
      <c r="G49" s="241"/>
      <c r="H49" s="141"/>
    </row>
    <row r="50" spans="1:8">
      <c r="A50" s="303"/>
      <c r="B50" s="153" t="s">
        <v>101</v>
      </c>
      <c r="C50" s="295"/>
      <c r="D50" s="290">
        <v>0</v>
      </c>
      <c r="E50" s="104"/>
      <c r="F50" s="296">
        <f>E50*D50*$C$49</f>
        <v>0</v>
      </c>
      <c r="G50" s="241"/>
      <c r="H50" s="141"/>
    </row>
    <row r="51" spans="1:8">
      <c r="A51" s="304"/>
      <c r="B51" s="153" t="s">
        <v>102</v>
      </c>
      <c r="C51" s="298"/>
      <c r="D51" s="290">
        <v>0</v>
      </c>
      <c r="E51" s="676"/>
      <c r="F51" s="296">
        <f>E51*D51*$C$49</f>
        <v>0</v>
      </c>
      <c r="G51" s="241"/>
      <c r="H51" s="141"/>
    </row>
    <row r="52" spans="1:8">
      <c r="A52" s="304"/>
      <c r="B52" s="153" t="s">
        <v>103</v>
      </c>
      <c r="C52" s="298"/>
      <c r="D52" s="290">
        <v>0</v>
      </c>
      <c r="E52" s="677"/>
      <c r="F52" s="296">
        <f>E52*D52*$C$49</f>
        <v>0</v>
      </c>
      <c r="G52" s="241"/>
      <c r="H52" s="141"/>
    </row>
    <row r="53" spans="1:8">
      <c r="A53" s="304"/>
      <c r="B53" s="153" t="s">
        <v>104</v>
      </c>
      <c r="C53" s="298"/>
      <c r="D53" s="290">
        <v>0</v>
      </c>
      <c r="E53" s="676"/>
      <c r="F53" s="296">
        <f>E53*D53*$C$49</f>
        <v>0</v>
      </c>
      <c r="G53" s="241"/>
      <c r="H53" s="141"/>
    </row>
    <row r="54" spans="1:8">
      <c r="A54" s="305"/>
      <c r="B54" s="153" t="s">
        <v>105</v>
      </c>
      <c r="C54" s="300"/>
      <c r="D54" s="290">
        <v>0</v>
      </c>
      <c r="E54" s="676"/>
      <c r="F54" s="296">
        <f>E54*D54*$C$49</f>
        <v>0</v>
      </c>
      <c r="G54" s="242"/>
      <c r="H54" s="141"/>
    </row>
    <row r="55" spans="1:8">
      <c r="A55" s="501" t="s">
        <v>106</v>
      </c>
      <c r="B55" s="502"/>
      <c r="C55" s="306">
        <v>0</v>
      </c>
      <c r="D55" s="307"/>
      <c r="E55" s="292"/>
      <c r="F55" s="293"/>
      <c r="G55" s="242"/>
      <c r="H55" s="141"/>
    </row>
    <row r="56" spans="1:8">
      <c r="A56" s="303"/>
      <c r="B56" s="153" t="s">
        <v>107</v>
      </c>
      <c r="C56" s="295"/>
      <c r="D56" s="290">
        <v>0</v>
      </c>
      <c r="E56" s="104"/>
      <c r="F56" s="296">
        <f t="shared" ref="F56:F73" si="2">E56*D56*$C$55</f>
        <v>0</v>
      </c>
      <c r="G56" s="242"/>
      <c r="H56" s="141"/>
    </row>
    <row r="57" spans="1:8">
      <c r="A57" s="304"/>
      <c r="B57" s="153" t="s">
        <v>108</v>
      </c>
      <c r="C57" s="298"/>
      <c r="D57" s="290">
        <v>0</v>
      </c>
      <c r="E57" s="104"/>
      <c r="F57" s="296">
        <f t="shared" si="2"/>
        <v>0</v>
      </c>
      <c r="G57" s="242"/>
      <c r="H57" s="141"/>
    </row>
    <row r="58" spans="1:8">
      <c r="A58" s="304"/>
      <c r="B58" s="143" t="s">
        <v>109</v>
      </c>
      <c r="C58" s="298"/>
      <c r="D58" s="308">
        <v>0</v>
      </c>
      <c r="E58" s="104"/>
      <c r="F58" s="296">
        <f t="shared" si="2"/>
        <v>0</v>
      </c>
      <c r="G58" s="242"/>
      <c r="H58" s="141"/>
    </row>
    <row r="59" spans="1:8">
      <c r="A59" s="304"/>
      <c r="B59" s="155" t="s">
        <v>110</v>
      </c>
      <c r="C59" s="298"/>
      <c r="D59" s="308">
        <v>0</v>
      </c>
      <c r="E59" s="104"/>
      <c r="F59" s="296">
        <f t="shared" si="2"/>
        <v>0</v>
      </c>
      <c r="G59" s="242"/>
      <c r="H59" s="141"/>
    </row>
    <row r="60" spans="1:8">
      <c r="A60" s="304"/>
      <c r="B60" s="155" t="s">
        <v>111</v>
      </c>
      <c r="C60" s="298"/>
      <c r="D60" s="308">
        <v>0</v>
      </c>
      <c r="E60" s="104"/>
      <c r="F60" s="296">
        <f t="shared" si="2"/>
        <v>0</v>
      </c>
      <c r="G60" s="242"/>
      <c r="H60" s="141"/>
    </row>
    <row r="61" spans="1:8">
      <c r="A61" s="304"/>
      <c r="B61" s="155" t="s">
        <v>112</v>
      </c>
      <c r="C61" s="298"/>
      <c r="D61" s="308">
        <v>0</v>
      </c>
      <c r="E61" s="104"/>
      <c r="F61" s="296">
        <f t="shared" si="2"/>
        <v>0</v>
      </c>
      <c r="G61" s="242"/>
      <c r="H61" s="141"/>
    </row>
    <row r="62" spans="1:8">
      <c r="A62" s="304"/>
      <c r="B62" s="155" t="s">
        <v>113</v>
      </c>
      <c r="C62" s="298"/>
      <c r="D62" s="308">
        <v>0</v>
      </c>
      <c r="E62" s="676"/>
      <c r="F62" s="296">
        <f t="shared" si="2"/>
        <v>0</v>
      </c>
      <c r="G62" s="242"/>
      <c r="H62" s="141"/>
    </row>
    <row r="63" spans="1:8">
      <c r="A63" s="304"/>
      <c r="B63" s="155" t="s">
        <v>114</v>
      </c>
      <c r="C63" s="298"/>
      <c r="D63" s="308">
        <v>0</v>
      </c>
      <c r="E63" s="104"/>
      <c r="F63" s="296">
        <f t="shared" si="2"/>
        <v>0</v>
      </c>
      <c r="G63" s="242"/>
      <c r="H63" s="141"/>
    </row>
    <row r="64" spans="1:8">
      <c r="A64" s="304"/>
      <c r="B64" s="155" t="s">
        <v>115</v>
      </c>
      <c r="C64" s="298"/>
      <c r="D64" s="308">
        <v>0</v>
      </c>
      <c r="E64" s="104"/>
      <c r="F64" s="296">
        <f t="shared" si="2"/>
        <v>0</v>
      </c>
      <c r="G64" s="242"/>
      <c r="H64" s="141"/>
    </row>
    <row r="65" spans="1:8">
      <c r="A65" s="304"/>
      <c r="B65" s="155" t="s">
        <v>116</v>
      </c>
      <c r="C65" s="298"/>
      <c r="D65" s="308">
        <v>0</v>
      </c>
      <c r="E65" s="104"/>
      <c r="F65" s="296">
        <f t="shared" si="2"/>
        <v>0</v>
      </c>
      <c r="G65" s="242"/>
      <c r="H65" s="141"/>
    </row>
    <row r="66" spans="1:8">
      <c r="A66" s="304"/>
      <c r="B66" s="155" t="s">
        <v>117</v>
      </c>
      <c r="C66" s="298"/>
      <c r="D66" s="308">
        <v>0</v>
      </c>
      <c r="E66" s="104"/>
      <c r="F66" s="296">
        <f t="shared" si="2"/>
        <v>0</v>
      </c>
      <c r="G66" s="242"/>
      <c r="H66" s="141"/>
    </row>
    <row r="67" spans="1:8">
      <c r="A67" s="304"/>
      <c r="B67" s="155" t="s">
        <v>118</v>
      </c>
      <c r="C67" s="298"/>
      <c r="D67" s="308">
        <v>0</v>
      </c>
      <c r="E67" s="104"/>
      <c r="F67" s="296">
        <f t="shared" si="2"/>
        <v>0</v>
      </c>
      <c r="G67" s="242"/>
      <c r="H67" s="141"/>
    </row>
    <row r="68" spans="1:8">
      <c r="A68" s="304"/>
      <c r="B68" s="155" t="s">
        <v>119</v>
      </c>
      <c r="C68" s="298"/>
      <c r="D68" s="308">
        <v>0</v>
      </c>
      <c r="E68" s="104"/>
      <c r="F68" s="296">
        <f t="shared" si="2"/>
        <v>0</v>
      </c>
      <c r="G68" s="242"/>
      <c r="H68" s="141"/>
    </row>
    <row r="69" spans="1:8">
      <c r="A69" s="304"/>
      <c r="B69" s="155" t="s">
        <v>120</v>
      </c>
      <c r="C69" s="298"/>
      <c r="D69" s="308">
        <v>0</v>
      </c>
      <c r="E69" s="676"/>
      <c r="F69" s="296">
        <f t="shared" si="2"/>
        <v>0</v>
      </c>
      <c r="G69" s="242"/>
      <c r="H69" s="141"/>
    </row>
    <row r="70" spans="1:8">
      <c r="A70" s="304"/>
      <c r="B70" s="155" t="s">
        <v>121</v>
      </c>
      <c r="C70" s="298"/>
      <c r="D70" s="308">
        <v>0</v>
      </c>
      <c r="E70" s="676"/>
      <c r="F70" s="296">
        <f t="shared" si="2"/>
        <v>0</v>
      </c>
      <c r="G70" s="242"/>
      <c r="H70" s="141"/>
    </row>
    <row r="71" spans="1:8">
      <c r="A71" s="304"/>
      <c r="B71" s="155" t="s">
        <v>122</v>
      </c>
      <c r="C71" s="298"/>
      <c r="D71" s="308">
        <v>0</v>
      </c>
      <c r="E71" s="676"/>
      <c r="F71" s="296">
        <f t="shared" si="2"/>
        <v>0</v>
      </c>
      <c r="G71" s="242"/>
      <c r="H71" s="141"/>
    </row>
    <row r="72" spans="1:8">
      <c r="A72" s="304"/>
      <c r="B72" s="155" t="s">
        <v>123</v>
      </c>
      <c r="C72" s="298"/>
      <c r="D72" s="308">
        <v>0</v>
      </c>
      <c r="E72" s="676"/>
      <c r="F72" s="296">
        <f t="shared" si="2"/>
        <v>0</v>
      </c>
      <c r="G72" s="242"/>
      <c r="H72" s="141"/>
    </row>
    <row r="73" spans="1:8">
      <c r="A73" s="305"/>
      <c r="B73" s="153" t="s">
        <v>124</v>
      </c>
      <c r="C73" s="300"/>
      <c r="D73" s="290">
        <v>0</v>
      </c>
      <c r="E73" s="104"/>
      <c r="F73" s="296">
        <f t="shared" si="2"/>
        <v>0</v>
      </c>
      <c r="G73" s="242"/>
      <c r="H73" s="141"/>
    </row>
    <row r="74" spans="1:8">
      <c r="A74" s="501" t="s">
        <v>125</v>
      </c>
      <c r="B74" s="502"/>
      <c r="C74" s="301">
        <v>0</v>
      </c>
      <c r="D74" s="302"/>
      <c r="E74" s="292"/>
      <c r="F74" s="293"/>
      <c r="G74" s="242"/>
      <c r="H74" s="141"/>
    </row>
    <row r="75" spans="1:8">
      <c r="A75" s="303"/>
      <c r="B75" s="153" t="s">
        <v>126</v>
      </c>
      <c r="C75" s="295"/>
      <c r="D75" s="290">
        <v>0</v>
      </c>
      <c r="E75" s="104"/>
      <c r="F75" s="296">
        <f>E75*D75*$C$74</f>
        <v>0</v>
      </c>
      <c r="G75" s="242"/>
      <c r="H75" s="141"/>
    </row>
    <row r="76" spans="1:8">
      <c r="A76" s="305"/>
      <c r="B76" s="153" t="s">
        <v>127</v>
      </c>
      <c r="C76" s="300"/>
      <c r="D76" s="290">
        <v>0</v>
      </c>
      <c r="E76" s="104"/>
      <c r="F76" s="296">
        <f>E76*D76*$C$74</f>
        <v>0</v>
      </c>
      <c r="G76" s="242"/>
      <c r="H76" s="141"/>
    </row>
    <row r="77" spans="1:8" ht="24.95" customHeight="1" thickBot="1">
      <c r="A77" s="503" t="s">
        <v>31</v>
      </c>
      <c r="B77" s="504"/>
      <c r="C77" s="243">
        <f>SUM(C44:C76)</f>
        <v>1.05</v>
      </c>
      <c r="D77" s="505" t="s">
        <v>128</v>
      </c>
      <c r="E77" s="506"/>
      <c r="F77" s="244">
        <f>IF((SUM(F45:F76))&lt;=5,ROUND(SUM(F45:F76)*320/5,0),320)</f>
        <v>0</v>
      </c>
      <c r="G77" s="246" t="str">
        <f>IF(F77&lt;295*0.25,"sehr geringer Erfüllungsgrad", IF(F77&lt;295*0.45,"geringer Erfüllungsgrad",IF(F77&lt;295*0.65,"mittlerer Erfüllungsgrad", IF(F77&lt;295*0.85,"hoher Erfüllungsgrad", IF(F77&gt;=295*0.85,"sehr hoher Erfüllungsgrad",)))))</f>
        <v>sehr geringer Erfüllungsgrad</v>
      </c>
      <c r="H77" s="147"/>
    </row>
    <row r="78" spans="1:8">
      <c r="H78" s="141"/>
    </row>
    <row r="79" spans="1:8">
      <c r="H79" s="141"/>
    </row>
    <row r="80" spans="1:8">
      <c r="H80" s="141"/>
    </row>
    <row r="81" spans="1:8" ht="15.75" thickBot="1">
      <c r="H81" s="141"/>
    </row>
    <row r="82" spans="1:8" ht="43.5">
      <c r="A82" s="983" t="s">
        <v>270</v>
      </c>
      <c r="B82" s="984"/>
      <c r="C82" s="985"/>
      <c r="D82" s="287"/>
      <c r="E82" s="288" t="s">
        <v>93</v>
      </c>
      <c r="F82" s="289"/>
      <c r="G82" s="149" t="s">
        <v>94</v>
      </c>
      <c r="H82" s="141"/>
    </row>
    <row r="83" spans="1:8">
      <c r="A83" s="978" t="s">
        <v>95</v>
      </c>
      <c r="B83" s="979"/>
      <c r="C83" s="290">
        <v>1.05</v>
      </c>
      <c r="D83" s="291"/>
      <c r="E83" s="292"/>
      <c r="F83" s="293"/>
      <c r="G83" s="242"/>
      <c r="H83" s="141"/>
    </row>
    <row r="84" spans="1:8">
      <c r="A84" s="294"/>
      <c r="B84" s="143" t="s">
        <v>96</v>
      </c>
      <c r="C84" s="295"/>
      <c r="D84" s="290">
        <v>0</v>
      </c>
      <c r="E84" s="104"/>
      <c r="F84" s="296">
        <f>E84*D84*$C$83</f>
        <v>0</v>
      </c>
      <c r="G84" s="241"/>
      <c r="H84" s="141"/>
    </row>
    <row r="85" spans="1:8">
      <c r="A85" s="297"/>
      <c r="B85" s="143" t="s">
        <v>97</v>
      </c>
      <c r="C85" s="298"/>
      <c r="D85" s="290">
        <v>0</v>
      </c>
      <c r="E85" s="104"/>
      <c r="F85" s="296">
        <f>E85*D85*$C$83</f>
        <v>0</v>
      </c>
      <c r="G85" s="241"/>
      <c r="H85" s="141"/>
    </row>
    <row r="86" spans="1:8">
      <c r="A86" s="297"/>
      <c r="B86" s="143" t="s">
        <v>98</v>
      </c>
      <c r="C86" s="298"/>
      <c r="D86" s="290">
        <v>0</v>
      </c>
      <c r="E86" s="104"/>
      <c r="F86" s="296">
        <f>E86*D86*$C$83</f>
        <v>0</v>
      </c>
      <c r="G86" s="241"/>
      <c r="H86" s="141"/>
    </row>
    <row r="87" spans="1:8">
      <c r="A87" s="299"/>
      <c r="B87" s="143" t="s">
        <v>99</v>
      </c>
      <c r="C87" s="300"/>
      <c r="D87" s="290">
        <v>0</v>
      </c>
      <c r="E87" s="104"/>
      <c r="F87" s="296">
        <f>E87*D87*$C$83</f>
        <v>0</v>
      </c>
      <c r="G87" s="241"/>
      <c r="H87" s="141"/>
    </row>
    <row r="88" spans="1:8">
      <c r="A88" s="501" t="s">
        <v>100</v>
      </c>
      <c r="B88" s="502"/>
      <c r="C88" s="301">
        <v>0</v>
      </c>
      <c r="D88" s="302"/>
      <c r="E88" s="292"/>
      <c r="F88" s="293"/>
      <c r="G88" s="241"/>
      <c r="H88" s="141"/>
    </row>
    <row r="89" spans="1:8">
      <c r="A89" s="303"/>
      <c r="B89" s="153" t="s">
        <v>101</v>
      </c>
      <c r="C89" s="295"/>
      <c r="D89" s="290">
        <v>0</v>
      </c>
      <c r="E89" s="104"/>
      <c r="F89" s="296">
        <f>E89*D89*$C$88</f>
        <v>0</v>
      </c>
      <c r="G89" s="241"/>
      <c r="H89" s="141"/>
    </row>
    <row r="90" spans="1:8">
      <c r="A90" s="304"/>
      <c r="B90" s="153" t="s">
        <v>102</v>
      </c>
      <c r="C90" s="298"/>
      <c r="D90" s="290">
        <v>0</v>
      </c>
      <c r="E90" s="104"/>
      <c r="F90" s="296">
        <f>E90*D90*$C$88</f>
        <v>0</v>
      </c>
      <c r="G90" s="241"/>
      <c r="H90" s="141"/>
    </row>
    <row r="91" spans="1:8">
      <c r="A91" s="304"/>
      <c r="B91" s="153" t="s">
        <v>103</v>
      </c>
      <c r="C91" s="298"/>
      <c r="D91" s="290">
        <v>0</v>
      </c>
      <c r="E91" s="104"/>
      <c r="F91" s="296">
        <f>E91*D91*$C$88</f>
        <v>0</v>
      </c>
      <c r="G91" s="241"/>
      <c r="H91" s="141"/>
    </row>
    <row r="92" spans="1:8">
      <c r="A92" s="304"/>
      <c r="B92" s="153" t="s">
        <v>104</v>
      </c>
      <c r="C92" s="298"/>
      <c r="D92" s="290">
        <v>0</v>
      </c>
      <c r="E92" s="104"/>
      <c r="F92" s="296">
        <f>E92*D92*$C$88</f>
        <v>0</v>
      </c>
      <c r="G92" s="241"/>
      <c r="H92" s="141"/>
    </row>
    <row r="93" spans="1:8">
      <c r="A93" s="305"/>
      <c r="B93" s="153" t="s">
        <v>105</v>
      </c>
      <c r="C93" s="300"/>
      <c r="D93" s="290">
        <v>0</v>
      </c>
      <c r="E93" s="104"/>
      <c r="F93" s="296">
        <f>E93*D93*$C$88</f>
        <v>0</v>
      </c>
      <c r="G93" s="242"/>
      <c r="H93" s="141"/>
    </row>
    <row r="94" spans="1:8">
      <c r="A94" s="501" t="s">
        <v>106</v>
      </c>
      <c r="B94" s="502"/>
      <c r="C94" s="306">
        <v>0</v>
      </c>
      <c r="D94" s="307"/>
      <c r="E94" s="292"/>
      <c r="F94" s="293"/>
      <c r="G94" s="242"/>
      <c r="H94" s="141"/>
    </row>
    <row r="95" spans="1:8">
      <c r="A95" s="303"/>
      <c r="B95" s="153" t="s">
        <v>107</v>
      </c>
      <c r="C95" s="295"/>
      <c r="D95" s="290">
        <v>0</v>
      </c>
      <c r="E95" s="676"/>
      <c r="F95" s="296">
        <f t="shared" ref="F95:F112" si="3">E95*D95*$C$94</f>
        <v>0</v>
      </c>
      <c r="G95" s="242"/>
      <c r="H95" s="141"/>
    </row>
    <row r="96" spans="1:8">
      <c r="A96" s="304"/>
      <c r="B96" s="153" t="s">
        <v>108</v>
      </c>
      <c r="C96" s="298"/>
      <c r="D96" s="290">
        <v>0</v>
      </c>
      <c r="E96" s="676"/>
      <c r="F96" s="296">
        <f t="shared" si="3"/>
        <v>0</v>
      </c>
      <c r="G96" s="242"/>
      <c r="H96" s="141"/>
    </row>
    <row r="97" spans="1:8">
      <c r="A97" s="304"/>
      <c r="B97" s="143" t="s">
        <v>109</v>
      </c>
      <c r="C97" s="298"/>
      <c r="D97" s="308">
        <v>0</v>
      </c>
      <c r="E97" s="676"/>
      <c r="F97" s="296">
        <f t="shared" si="3"/>
        <v>0</v>
      </c>
      <c r="G97" s="242"/>
      <c r="H97" s="141"/>
    </row>
    <row r="98" spans="1:8">
      <c r="A98" s="304"/>
      <c r="B98" s="155" t="s">
        <v>110</v>
      </c>
      <c r="C98" s="298"/>
      <c r="D98" s="308">
        <v>0</v>
      </c>
      <c r="E98" s="104"/>
      <c r="F98" s="296">
        <f t="shared" si="3"/>
        <v>0</v>
      </c>
      <c r="G98" s="242"/>
      <c r="H98" s="141"/>
    </row>
    <row r="99" spans="1:8">
      <c r="A99" s="304"/>
      <c r="B99" s="155" t="s">
        <v>111</v>
      </c>
      <c r="C99" s="298"/>
      <c r="D99" s="308">
        <v>0</v>
      </c>
      <c r="E99" s="104"/>
      <c r="F99" s="296">
        <f t="shared" si="3"/>
        <v>0</v>
      </c>
      <c r="G99" s="242"/>
      <c r="H99" s="141"/>
    </row>
    <row r="100" spans="1:8">
      <c r="A100" s="304"/>
      <c r="B100" s="155" t="s">
        <v>112</v>
      </c>
      <c r="C100" s="298"/>
      <c r="D100" s="308">
        <v>0</v>
      </c>
      <c r="E100" s="104"/>
      <c r="F100" s="296">
        <f t="shared" si="3"/>
        <v>0</v>
      </c>
      <c r="G100" s="242"/>
      <c r="H100" s="141"/>
    </row>
    <row r="101" spans="1:8">
      <c r="A101" s="304"/>
      <c r="B101" s="155" t="s">
        <v>113</v>
      </c>
      <c r="C101" s="298"/>
      <c r="D101" s="308">
        <v>0</v>
      </c>
      <c r="E101" s="104"/>
      <c r="F101" s="296">
        <f t="shared" si="3"/>
        <v>0</v>
      </c>
      <c r="G101" s="242"/>
      <c r="H101" s="141"/>
    </row>
    <row r="102" spans="1:8">
      <c r="A102" s="304"/>
      <c r="B102" s="155" t="s">
        <v>114</v>
      </c>
      <c r="C102" s="298"/>
      <c r="D102" s="308">
        <v>0</v>
      </c>
      <c r="E102" s="104"/>
      <c r="F102" s="296">
        <f t="shared" si="3"/>
        <v>0</v>
      </c>
      <c r="G102" s="242"/>
      <c r="H102" s="141"/>
    </row>
    <row r="103" spans="1:8">
      <c r="A103" s="304"/>
      <c r="B103" s="155" t="s">
        <v>115</v>
      </c>
      <c r="C103" s="298"/>
      <c r="D103" s="308">
        <v>0</v>
      </c>
      <c r="E103" s="104"/>
      <c r="F103" s="296">
        <f t="shared" si="3"/>
        <v>0</v>
      </c>
      <c r="G103" s="242"/>
      <c r="H103" s="141"/>
    </row>
    <row r="104" spans="1:8">
      <c r="A104" s="304"/>
      <c r="B104" s="155" t="s">
        <v>116</v>
      </c>
      <c r="C104" s="298"/>
      <c r="D104" s="308">
        <v>0</v>
      </c>
      <c r="E104" s="104"/>
      <c r="F104" s="296">
        <f t="shared" si="3"/>
        <v>0</v>
      </c>
      <c r="G104" s="242"/>
      <c r="H104" s="141"/>
    </row>
    <row r="105" spans="1:8">
      <c r="A105" s="304"/>
      <c r="B105" s="155" t="s">
        <v>117</v>
      </c>
      <c r="C105" s="298"/>
      <c r="D105" s="308">
        <v>0</v>
      </c>
      <c r="E105" s="104"/>
      <c r="F105" s="296">
        <f t="shared" si="3"/>
        <v>0</v>
      </c>
      <c r="G105" s="242"/>
      <c r="H105" s="141"/>
    </row>
    <row r="106" spans="1:8">
      <c r="A106" s="304"/>
      <c r="B106" s="155" t="s">
        <v>118</v>
      </c>
      <c r="C106" s="298"/>
      <c r="D106" s="308">
        <v>0</v>
      </c>
      <c r="E106" s="104"/>
      <c r="F106" s="296">
        <f t="shared" si="3"/>
        <v>0</v>
      </c>
      <c r="G106" s="242"/>
      <c r="H106" s="141"/>
    </row>
    <row r="107" spans="1:8">
      <c r="A107" s="304"/>
      <c r="B107" s="155" t="s">
        <v>119</v>
      </c>
      <c r="C107" s="298"/>
      <c r="D107" s="308">
        <v>0</v>
      </c>
      <c r="E107" s="104"/>
      <c r="F107" s="296">
        <f t="shared" si="3"/>
        <v>0</v>
      </c>
      <c r="G107" s="242"/>
      <c r="H107" s="141"/>
    </row>
    <row r="108" spans="1:8">
      <c r="A108" s="304"/>
      <c r="B108" s="155" t="s">
        <v>120</v>
      </c>
      <c r="C108" s="298"/>
      <c r="D108" s="308">
        <v>0</v>
      </c>
      <c r="E108" s="104"/>
      <c r="F108" s="296">
        <f t="shared" si="3"/>
        <v>0</v>
      </c>
      <c r="G108" s="242"/>
      <c r="H108" s="141"/>
    </row>
    <row r="109" spans="1:8">
      <c r="A109" s="304"/>
      <c r="B109" s="155" t="s">
        <v>121</v>
      </c>
      <c r="C109" s="298"/>
      <c r="D109" s="308">
        <v>0</v>
      </c>
      <c r="E109" s="676"/>
      <c r="F109" s="296">
        <f t="shared" si="3"/>
        <v>0</v>
      </c>
      <c r="G109" s="242"/>
      <c r="H109" s="141"/>
    </row>
    <row r="110" spans="1:8">
      <c r="A110" s="304"/>
      <c r="B110" s="155" t="s">
        <v>122</v>
      </c>
      <c r="C110" s="298"/>
      <c r="D110" s="308">
        <v>0</v>
      </c>
      <c r="E110" s="104"/>
      <c r="F110" s="296">
        <f t="shared" si="3"/>
        <v>0</v>
      </c>
      <c r="G110" s="242"/>
      <c r="H110" s="141"/>
    </row>
    <row r="111" spans="1:8">
      <c r="A111" s="304"/>
      <c r="B111" s="155" t="s">
        <v>123</v>
      </c>
      <c r="C111" s="298"/>
      <c r="D111" s="308">
        <v>0</v>
      </c>
      <c r="E111" s="104"/>
      <c r="F111" s="296">
        <f t="shared" si="3"/>
        <v>0</v>
      </c>
      <c r="G111" s="242"/>
      <c r="H111" s="141"/>
    </row>
    <row r="112" spans="1:8">
      <c r="A112" s="305"/>
      <c r="B112" s="153" t="s">
        <v>124</v>
      </c>
      <c r="C112" s="300"/>
      <c r="D112" s="290">
        <v>0</v>
      </c>
      <c r="E112" s="104"/>
      <c r="F112" s="296">
        <f t="shared" si="3"/>
        <v>0</v>
      </c>
      <c r="G112" s="242"/>
      <c r="H112" s="141"/>
    </row>
    <row r="113" spans="1:8">
      <c r="A113" s="501" t="s">
        <v>125</v>
      </c>
      <c r="B113" s="502"/>
      <c r="C113" s="301">
        <v>0</v>
      </c>
      <c r="D113" s="302"/>
      <c r="E113" s="292"/>
      <c r="F113" s="293"/>
      <c r="G113" s="242"/>
      <c r="H113" s="141"/>
    </row>
    <row r="114" spans="1:8">
      <c r="A114" s="303"/>
      <c r="B114" s="153" t="s">
        <v>126</v>
      </c>
      <c r="C114" s="295"/>
      <c r="D114" s="290">
        <v>0</v>
      </c>
      <c r="E114" s="104"/>
      <c r="F114" s="296">
        <f>E114*D114*$C$113</f>
        <v>0</v>
      </c>
      <c r="G114" s="242"/>
      <c r="H114" s="141"/>
    </row>
    <row r="115" spans="1:8">
      <c r="A115" s="305"/>
      <c r="B115" s="153" t="s">
        <v>127</v>
      </c>
      <c r="C115" s="300"/>
      <c r="D115" s="290">
        <v>0</v>
      </c>
      <c r="E115" s="104"/>
      <c r="F115" s="296">
        <f>E115*D115*$C$113</f>
        <v>0</v>
      </c>
      <c r="G115" s="242"/>
      <c r="H115" s="141"/>
    </row>
    <row r="116" spans="1:8" ht="24.95" customHeight="1" thickBot="1">
      <c r="A116" s="499" t="s">
        <v>31</v>
      </c>
      <c r="B116" s="500"/>
      <c r="C116" s="243">
        <f>SUM(C83:C115)</f>
        <v>1.05</v>
      </c>
      <c r="D116" s="505" t="s">
        <v>128</v>
      </c>
      <c r="E116" s="506"/>
      <c r="F116" s="244">
        <f>IF((SUM(F84:F115))&lt;=5,ROUND(SUM(F84:F115)*185/5,0),185)</f>
        <v>0</v>
      </c>
      <c r="G116" s="246" t="str">
        <f>IF(F116&lt;160*0.25,"sehr geringer Erfüllungsgrad", IF(F116&lt;160*0.45,"geringer Erfüllungsgrad",IF(F116&lt;160*0.65,"mittlerer Erfüllungsgrad", IF(F116&lt;160*0.85,"hoher Erfüllungsgrad", IF(F116&gt;=160*0.85,"sehr hoher Erfüllungsgrad",)))))</f>
        <v>sehr geringer Erfüllungsgrad</v>
      </c>
      <c r="H116" s="141"/>
    </row>
    <row r="117" spans="1:8" ht="15.75" thickBot="1">
      <c r="H117" s="461"/>
    </row>
    <row r="120" spans="1:8" ht="15.75" thickBot="1"/>
    <row r="121" spans="1:8" ht="43.5">
      <c r="A121" s="983" t="s">
        <v>129</v>
      </c>
      <c r="B121" s="984"/>
      <c r="C121" s="985"/>
      <c r="D121" s="287"/>
      <c r="E121" s="288" t="s">
        <v>93</v>
      </c>
      <c r="F121" s="289"/>
      <c r="G121" s="149" t="s">
        <v>94</v>
      </c>
    </row>
    <row r="122" spans="1:8">
      <c r="A122" s="978" t="s">
        <v>95</v>
      </c>
      <c r="B122" s="979"/>
      <c r="C122" s="290">
        <v>1.05</v>
      </c>
      <c r="D122" s="291"/>
      <c r="E122" s="292"/>
      <c r="F122" s="293"/>
      <c r="G122" s="242"/>
    </row>
    <row r="123" spans="1:8">
      <c r="A123" s="294"/>
      <c r="B123" s="143" t="s">
        <v>96</v>
      </c>
      <c r="C123" s="295"/>
      <c r="D123" s="290">
        <v>0</v>
      </c>
      <c r="E123" s="104"/>
      <c r="F123" s="296">
        <f>E123*D123*$C$122</f>
        <v>0</v>
      </c>
      <c r="G123" s="241"/>
    </row>
    <row r="124" spans="1:8">
      <c r="A124" s="297"/>
      <c r="B124" s="143" t="s">
        <v>97</v>
      </c>
      <c r="C124" s="298"/>
      <c r="D124" s="290">
        <v>0</v>
      </c>
      <c r="E124" s="104"/>
      <c r="F124" s="296">
        <f>E124*D124*$C$122</f>
        <v>0</v>
      </c>
      <c r="G124" s="241"/>
    </row>
    <row r="125" spans="1:8">
      <c r="A125" s="297"/>
      <c r="B125" s="143" t="s">
        <v>98</v>
      </c>
      <c r="C125" s="298"/>
      <c r="D125" s="290">
        <v>0</v>
      </c>
      <c r="E125" s="104"/>
      <c r="F125" s="296">
        <f>E125*D125*$C$122</f>
        <v>0</v>
      </c>
      <c r="G125" s="241"/>
    </row>
    <row r="126" spans="1:8">
      <c r="A126" s="299"/>
      <c r="B126" s="143" t="s">
        <v>99</v>
      </c>
      <c r="C126" s="300"/>
      <c r="D126" s="290">
        <v>0</v>
      </c>
      <c r="E126" s="104"/>
      <c r="F126" s="296">
        <f>E126*D126*$C$122</f>
        <v>0</v>
      </c>
      <c r="G126" s="241"/>
    </row>
    <row r="127" spans="1:8">
      <c r="A127" s="501" t="s">
        <v>100</v>
      </c>
      <c r="B127" s="502"/>
      <c r="C127" s="301">
        <v>0</v>
      </c>
      <c r="D127" s="302"/>
      <c r="E127" s="292"/>
      <c r="F127" s="293"/>
      <c r="G127" s="241"/>
    </row>
    <row r="128" spans="1:8">
      <c r="A128" s="303"/>
      <c r="B128" s="153" t="s">
        <v>101</v>
      </c>
      <c r="C128" s="295"/>
      <c r="D128" s="290">
        <v>0</v>
      </c>
      <c r="E128" s="104"/>
      <c r="F128" s="296">
        <f>E128*D128*$C$127</f>
        <v>0</v>
      </c>
      <c r="G128" s="241"/>
    </row>
    <row r="129" spans="1:7">
      <c r="A129" s="304"/>
      <c r="B129" s="153" t="s">
        <v>102</v>
      </c>
      <c r="C129" s="298"/>
      <c r="D129" s="290">
        <v>0</v>
      </c>
      <c r="E129" s="104"/>
      <c r="F129" s="296">
        <f>E129*D129*$C$127</f>
        <v>0</v>
      </c>
      <c r="G129" s="241"/>
    </row>
    <row r="130" spans="1:7">
      <c r="A130" s="304"/>
      <c r="B130" s="153" t="s">
        <v>103</v>
      </c>
      <c r="C130" s="298"/>
      <c r="D130" s="290">
        <v>0</v>
      </c>
      <c r="E130" s="104"/>
      <c r="F130" s="296">
        <f>E130*D130*$C$127</f>
        <v>0</v>
      </c>
      <c r="G130" s="241"/>
    </row>
    <row r="131" spans="1:7">
      <c r="A131" s="304"/>
      <c r="B131" s="153" t="s">
        <v>104</v>
      </c>
      <c r="C131" s="298"/>
      <c r="D131" s="290">
        <v>0</v>
      </c>
      <c r="E131" s="104"/>
      <c r="F131" s="296">
        <f>E131*D131*$C$127</f>
        <v>0</v>
      </c>
      <c r="G131" s="241"/>
    </row>
    <row r="132" spans="1:7">
      <c r="A132" s="305"/>
      <c r="B132" s="153" t="s">
        <v>105</v>
      </c>
      <c r="C132" s="300"/>
      <c r="D132" s="290">
        <v>0</v>
      </c>
      <c r="E132" s="104"/>
      <c r="F132" s="296">
        <f>E132*D132*$C$127</f>
        <v>0</v>
      </c>
      <c r="G132" s="242"/>
    </row>
    <row r="133" spans="1:7">
      <c r="A133" s="501" t="s">
        <v>106</v>
      </c>
      <c r="B133" s="502"/>
      <c r="C133" s="306">
        <v>0</v>
      </c>
      <c r="D133" s="307"/>
      <c r="E133" s="292"/>
      <c r="F133" s="293"/>
      <c r="G133" s="242"/>
    </row>
    <row r="134" spans="1:7">
      <c r="A134" s="303"/>
      <c r="B134" s="153" t="s">
        <v>107</v>
      </c>
      <c r="C134" s="295"/>
      <c r="D134" s="290">
        <v>0</v>
      </c>
      <c r="E134" s="104"/>
      <c r="F134" s="296">
        <f t="shared" ref="F134:F151" si="4">E134*D134*$C$133</f>
        <v>0</v>
      </c>
      <c r="G134" s="242"/>
    </row>
    <row r="135" spans="1:7">
      <c r="A135" s="304"/>
      <c r="B135" s="153" t="s">
        <v>108</v>
      </c>
      <c r="C135" s="298"/>
      <c r="D135" s="290">
        <v>0</v>
      </c>
      <c r="E135" s="104"/>
      <c r="F135" s="296">
        <f t="shared" si="4"/>
        <v>0</v>
      </c>
      <c r="G135" s="242"/>
    </row>
    <row r="136" spans="1:7">
      <c r="A136" s="304"/>
      <c r="B136" s="143" t="s">
        <v>109</v>
      </c>
      <c r="C136" s="298"/>
      <c r="D136" s="308">
        <v>0</v>
      </c>
      <c r="E136" s="104"/>
      <c r="F136" s="296">
        <f t="shared" si="4"/>
        <v>0</v>
      </c>
      <c r="G136" s="242"/>
    </row>
    <row r="137" spans="1:7">
      <c r="A137" s="304"/>
      <c r="B137" s="155" t="s">
        <v>110</v>
      </c>
      <c r="C137" s="298"/>
      <c r="D137" s="308">
        <v>0</v>
      </c>
      <c r="E137" s="104"/>
      <c r="F137" s="296">
        <f t="shared" si="4"/>
        <v>0</v>
      </c>
      <c r="G137" s="242"/>
    </row>
    <row r="138" spans="1:7">
      <c r="A138" s="304"/>
      <c r="B138" s="155" t="s">
        <v>111</v>
      </c>
      <c r="C138" s="298"/>
      <c r="D138" s="308">
        <v>0</v>
      </c>
      <c r="E138" s="104"/>
      <c r="F138" s="296">
        <f t="shared" si="4"/>
        <v>0</v>
      </c>
      <c r="G138" s="242"/>
    </row>
    <row r="139" spans="1:7">
      <c r="A139" s="304"/>
      <c r="B139" s="155" t="s">
        <v>112</v>
      </c>
      <c r="C139" s="298"/>
      <c r="D139" s="308">
        <v>0</v>
      </c>
      <c r="E139" s="104"/>
      <c r="F139" s="296">
        <f t="shared" si="4"/>
        <v>0</v>
      </c>
      <c r="G139" s="242"/>
    </row>
    <row r="140" spans="1:7">
      <c r="A140" s="304"/>
      <c r="B140" s="155" t="s">
        <v>113</v>
      </c>
      <c r="C140" s="298"/>
      <c r="D140" s="308">
        <v>0</v>
      </c>
      <c r="E140" s="104"/>
      <c r="F140" s="296">
        <f t="shared" si="4"/>
        <v>0</v>
      </c>
      <c r="G140" s="242"/>
    </row>
    <row r="141" spans="1:7">
      <c r="A141" s="304"/>
      <c r="B141" s="155" t="s">
        <v>114</v>
      </c>
      <c r="C141" s="298"/>
      <c r="D141" s="308">
        <v>0</v>
      </c>
      <c r="E141" s="104"/>
      <c r="F141" s="296">
        <f t="shared" si="4"/>
        <v>0</v>
      </c>
      <c r="G141" s="242"/>
    </row>
    <row r="142" spans="1:7">
      <c r="A142" s="304"/>
      <c r="B142" s="155" t="s">
        <v>115</v>
      </c>
      <c r="C142" s="298"/>
      <c r="D142" s="308">
        <v>0</v>
      </c>
      <c r="E142" s="104"/>
      <c r="F142" s="296">
        <f t="shared" si="4"/>
        <v>0</v>
      </c>
      <c r="G142" s="242"/>
    </row>
    <row r="143" spans="1:7">
      <c r="A143" s="304"/>
      <c r="B143" s="155" t="s">
        <v>116</v>
      </c>
      <c r="C143" s="298"/>
      <c r="D143" s="308">
        <v>0</v>
      </c>
      <c r="E143" s="104"/>
      <c r="F143" s="296">
        <f t="shared" si="4"/>
        <v>0</v>
      </c>
      <c r="G143" s="242"/>
    </row>
    <row r="144" spans="1:7">
      <c r="A144" s="304"/>
      <c r="B144" s="155" t="s">
        <v>117</v>
      </c>
      <c r="C144" s="298"/>
      <c r="D144" s="308">
        <v>0</v>
      </c>
      <c r="E144" s="104"/>
      <c r="F144" s="296">
        <f t="shared" si="4"/>
        <v>0</v>
      </c>
      <c r="G144" s="242"/>
    </row>
    <row r="145" spans="1:7">
      <c r="A145" s="304"/>
      <c r="B145" s="155" t="s">
        <v>118</v>
      </c>
      <c r="C145" s="298"/>
      <c r="D145" s="308">
        <v>0</v>
      </c>
      <c r="E145" s="104"/>
      <c r="F145" s="296">
        <f t="shared" si="4"/>
        <v>0</v>
      </c>
      <c r="G145" s="242"/>
    </row>
    <row r="146" spans="1:7">
      <c r="A146" s="304"/>
      <c r="B146" s="155" t="s">
        <v>119</v>
      </c>
      <c r="C146" s="298"/>
      <c r="D146" s="308">
        <v>0</v>
      </c>
      <c r="E146" s="104"/>
      <c r="F146" s="296">
        <f t="shared" si="4"/>
        <v>0</v>
      </c>
      <c r="G146" s="242"/>
    </row>
    <row r="147" spans="1:7">
      <c r="A147" s="304"/>
      <c r="B147" s="155" t="s">
        <v>120</v>
      </c>
      <c r="C147" s="298"/>
      <c r="D147" s="308">
        <v>0</v>
      </c>
      <c r="E147" s="104"/>
      <c r="F147" s="296">
        <f t="shared" si="4"/>
        <v>0</v>
      </c>
      <c r="G147" s="242"/>
    </row>
    <row r="148" spans="1:7">
      <c r="A148" s="304"/>
      <c r="B148" s="155" t="s">
        <v>121</v>
      </c>
      <c r="C148" s="298"/>
      <c r="D148" s="308">
        <v>0</v>
      </c>
      <c r="E148" s="104"/>
      <c r="F148" s="296">
        <f t="shared" si="4"/>
        <v>0</v>
      </c>
      <c r="G148" s="242"/>
    </row>
    <row r="149" spans="1:7">
      <c r="A149" s="304"/>
      <c r="B149" s="155" t="s">
        <v>412</v>
      </c>
      <c r="C149" s="298"/>
      <c r="D149" s="308">
        <v>0</v>
      </c>
      <c r="E149" s="104"/>
      <c r="F149" s="296">
        <f t="shared" si="4"/>
        <v>0</v>
      </c>
      <c r="G149" s="242"/>
    </row>
    <row r="150" spans="1:7">
      <c r="A150" s="304"/>
      <c r="B150" s="155" t="s">
        <v>123</v>
      </c>
      <c r="C150" s="298"/>
      <c r="D150" s="308">
        <v>0</v>
      </c>
      <c r="E150" s="104"/>
      <c r="F150" s="296">
        <f t="shared" si="4"/>
        <v>0</v>
      </c>
      <c r="G150" s="242"/>
    </row>
    <row r="151" spans="1:7">
      <c r="A151" s="305"/>
      <c r="B151" s="153" t="s">
        <v>124</v>
      </c>
      <c r="C151" s="300"/>
      <c r="D151" s="290">
        <v>0</v>
      </c>
      <c r="E151" s="104"/>
      <c r="F151" s="296">
        <f t="shared" si="4"/>
        <v>0</v>
      </c>
      <c r="G151" s="242"/>
    </row>
    <row r="152" spans="1:7">
      <c r="A152" s="501" t="s">
        <v>125</v>
      </c>
      <c r="B152" s="502"/>
      <c r="C152" s="301">
        <v>0</v>
      </c>
      <c r="D152" s="302"/>
      <c r="E152" s="292"/>
      <c r="F152" s="293"/>
      <c r="G152" s="242"/>
    </row>
    <row r="153" spans="1:7">
      <c r="A153" s="303"/>
      <c r="B153" s="153" t="s">
        <v>126</v>
      </c>
      <c r="C153" s="295"/>
      <c r="D153" s="290">
        <v>0</v>
      </c>
      <c r="E153" s="104"/>
      <c r="F153" s="296">
        <f>E153*D153*$C$152</f>
        <v>0</v>
      </c>
      <c r="G153" s="242"/>
    </row>
    <row r="154" spans="1:7">
      <c r="A154" s="305"/>
      <c r="B154" s="153" t="s">
        <v>127</v>
      </c>
      <c r="C154" s="300"/>
      <c r="D154" s="290">
        <v>0</v>
      </c>
      <c r="E154" s="104"/>
      <c r="F154" s="296">
        <f>E154*D154*$C$152</f>
        <v>0</v>
      </c>
      <c r="G154" s="242"/>
    </row>
    <row r="155" spans="1:7" ht="15.75" thickBot="1">
      <c r="A155" s="499" t="s">
        <v>31</v>
      </c>
      <c r="B155" s="500"/>
      <c r="C155" s="243">
        <f>SUM(C122:C154)</f>
        <v>1.05</v>
      </c>
      <c r="D155" s="505" t="s">
        <v>128</v>
      </c>
      <c r="E155" s="506"/>
      <c r="F155" s="244">
        <f>IF((SUM(F123:F154))&lt;=5,ROUND(SUM(F123:F154)*140/5,0),140)</f>
        <v>0</v>
      </c>
      <c r="G155" s="246" t="str">
        <f>IF(F155&lt;110*0.25,"sehr geringer Erfüllungsgrad", IF(F155&lt;110*0.45,"geringer Erfüllungsgrad",IF(F155&lt;110*0.65,"mittlerer Erfüllungsgrad", IF(F155&lt;110*0.85,"hoher Erfüllungsgrad", IF(F155&gt;=110*0.85,"sehr hoher Erfüllungsgrad",)))))</f>
        <v>sehr geringer Erfüllungsgrad</v>
      </c>
    </row>
  </sheetData>
  <sheetProtection selectLockedCells="1"/>
  <mergeCells count="7">
    <mergeCell ref="A122:B122"/>
    <mergeCell ref="A4:C4"/>
    <mergeCell ref="A1:C1"/>
    <mergeCell ref="A43:C43"/>
    <mergeCell ref="A82:C82"/>
    <mergeCell ref="A121:C121"/>
    <mergeCell ref="A83:B83"/>
  </mergeCells>
  <printOptions horizontalCentered="1"/>
  <pageMargins left="0.59055118110236227" right="0.59055118110236227" top="0.59055118110236227" bottom="0.59055118110236227"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43"/>
  <sheetViews>
    <sheetView showGridLines="0" topLeftCell="A16" zoomScale="85" zoomScaleNormal="85" workbookViewId="0">
      <selection activeCell="K36" sqref="K35:K36"/>
    </sheetView>
  </sheetViews>
  <sheetFormatPr baseColWidth="10" defaultColWidth="11.42578125" defaultRowHeight="14.25"/>
  <cols>
    <col min="1" max="1" width="55.85546875" style="437" customWidth="1"/>
    <col min="2" max="2" width="24" style="437" customWidth="1"/>
    <col min="3" max="3" width="13.85546875" style="437" customWidth="1"/>
    <col min="4" max="4" width="30.7109375" style="437" customWidth="1"/>
    <col min="5" max="5" width="5.7109375" style="437" customWidth="1"/>
    <col min="6" max="6" width="32.7109375" style="437" customWidth="1"/>
    <col min="7" max="7" width="35.42578125" style="437" customWidth="1"/>
    <col min="8" max="8" width="20.7109375" style="437" customWidth="1"/>
    <col min="9" max="9" width="13" style="437" customWidth="1"/>
    <col min="10" max="10" width="13.28515625" style="437" customWidth="1"/>
    <col min="11" max="11" width="30.7109375" style="437" customWidth="1"/>
    <col min="12" max="12" width="11.42578125" style="437" customWidth="1"/>
    <col min="13" max="16384" width="11.42578125" style="437"/>
  </cols>
  <sheetData>
    <row r="1" spans="1:9" s="382" customFormat="1" ht="60.75" customHeight="1" thickBot="1">
      <c r="A1" s="986" t="s">
        <v>130</v>
      </c>
      <c r="B1" s="986"/>
      <c r="C1" s="986"/>
      <c r="D1" s="986"/>
      <c r="F1" s="987" t="s">
        <v>28</v>
      </c>
      <c r="G1" s="988"/>
      <c r="H1" s="989"/>
    </row>
    <row r="2" spans="1:9" s="382" customFormat="1" ht="7.5" customHeight="1" thickBot="1">
      <c r="A2" s="341"/>
      <c r="B2" s="187"/>
      <c r="C2" s="187"/>
      <c r="D2" s="383"/>
    </row>
    <row r="3" spans="1:9" s="382" customFormat="1" ht="24.95" customHeight="1">
      <c r="A3" s="384" t="str">
        <f>"Eingabefeld OIB RL-6 2019"</f>
        <v>Eingabefeld OIB RL-6 2019</v>
      </c>
      <c r="B3" s="385" t="s">
        <v>40</v>
      </c>
      <c r="C3" s="386"/>
      <c r="D3" s="387" t="s">
        <v>24</v>
      </c>
      <c r="F3" s="990" t="s">
        <v>131</v>
      </c>
      <c r="G3" s="991"/>
      <c r="H3" s="992"/>
      <c r="I3" s="388" t="s">
        <v>24</v>
      </c>
    </row>
    <row r="4" spans="1:9" s="393" customFormat="1" ht="24.95" customHeight="1">
      <c r="A4" s="389" t="s">
        <v>132</v>
      </c>
      <c r="B4" s="390"/>
      <c r="C4" s="391" t="s">
        <v>133</v>
      </c>
      <c r="D4" s="392"/>
      <c r="F4" s="389" t="s">
        <v>132</v>
      </c>
      <c r="G4" s="394">
        <f>IF(AND(ISNUMBER(B4)),B4,IF(AND(ISBLANK(B4)),0,B4))</f>
        <v>0</v>
      </c>
      <c r="H4" s="391" t="s">
        <v>133</v>
      </c>
      <c r="I4" s="395"/>
    </row>
    <row r="5" spans="1:9" s="393" customFormat="1" ht="24.95" customHeight="1">
      <c r="A5" s="389" t="s">
        <v>134</v>
      </c>
      <c r="B5" s="390"/>
      <c r="C5" s="391" t="s">
        <v>135</v>
      </c>
      <c r="D5" s="392"/>
      <c r="F5" s="389" t="s">
        <v>134</v>
      </c>
      <c r="G5" s="394" t="str">
        <f>IF(AND(ISNUMBER(B5)),B5,"")</f>
        <v/>
      </c>
      <c r="H5" s="391" t="s">
        <v>135</v>
      </c>
      <c r="I5" s="395"/>
    </row>
    <row r="6" spans="1:9" s="393" customFormat="1" ht="24.95" customHeight="1">
      <c r="A6" s="389" t="s">
        <v>136</v>
      </c>
      <c r="B6" s="390"/>
      <c r="C6" s="391" t="s">
        <v>137</v>
      </c>
      <c r="D6" s="392"/>
      <c r="F6" s="389" t="s">
        <v>136</v>
      </c>
      <c r="G6" s="394" t="str">
        <f t="shared" ref="G6:G16" si="0">IF(AND(ISNUMBER(B6)),B6,"")</f>
        <v/>
      </c>
      <c r="H6" s="391" t="s">
        <v>137</v>
      </c>
      <c r="I6" s="395"/>
    </row>
    <row r="7" spans="1:9" s="393" customFormat="1" ht="24.95" customHeight="1">
      <c r="A7" s="389" t="s">
        <v>138</v>
      </c>
      <c r="B7" s="390"/>
      <c r="C7" s="391"/>
      <c r="D7" s="392"/>
      <c r="F7" s="396" t="s">
        <v>138</v>
      </c>
      <c r="G7" s="394" t="str">
        <f t="shared" si="0"/>
        <v/>
      </c>
      <c r="H7" s="391"/>
      <c r="I7" s="395"/>
    </row>
    <row r="8" spans="1:9" s="393" customFormat="1" ht="24.95" customHeight="1">
      <c r="A8" s="389" t="s">
        <v>139</v>
      </c>
      <c r="B8" s="390"/>
      <c r="C8" s="391" t="s">
        <v>140</v>
      </c>
      <c r="D8" s="392"/>
      <c r="F8" s="389" t="s">
        <v>139</v>
      </c>
      <c r="G8" s="394" t="str">
        <f t="shared" si="0"/>
        <v/>
      </c>
      <c r="H8" s="391" t="s">
        <v>140</v>
      </c>
      <c r="I8" s="395"/>
    </row>
    <row r="9" spans="1:9" s="393" customFormat="1" ht="24.95" customHeight="1">
      <c r="A9" s="389" t="s">
        <v>141</v>
      </c>
      <c r="B9" s="390"/>
      <c r="C9" s="391" t="s">
        <v>140</v>
      </c>
      <c r="D9" s="392"/>
      <c r="F9" s="389" t="s">
        <v>141</v>
      </c>
      <c r="G9" s="394" t="str">
        <f>IF(AND(ISNUMBER(B9),(B9&gt;0)),B9,"")</f>
        <v/>
      </c>
      <c r="H9" s="391" t="s">
        <v>140</v>
      </c>
      <c r="I9" s="395"/>
    </row>
    <row r="10" spans="1:9" s="393" customFormat="1" ht="24.95" customHeight="1">
      <c r="A10" s="396" t="s">
        <v>142</v>
      </c>
      <c r="B10" s="390"/>
      <c r="C10" s="391" t="s">
        <v>143</v>
      </c>
      <c r="D10" s="392"/>
      <c r="F10" s="389" t="s">
        <v>142</v>
      </c>
      <c r="G10" s="394" t="str">
        <f t="shared" si="0"/>
        <v/>
      </c>
      <c r="H10" s="391" t="s">
        <v>143</v>
      </c>
      <c r="I10" s="395"/>
    </row>
    <row r="11" spans="1:9" s="393" customFormat="1" ht="24.95" customHeight="1">
      <c r="A11" s="389" t="s">
        <v>144</v>
      </c>
      <c r="B11" s="390"/>
      <c r="C11" s="391" t="s">
        <v>137</v>
      </c>
      <c r="D11" s="444"/>
      <c r="F11" s="389" t="s">
        <v>144</v>
      </c>
      <c r="G11" s="394" t="str">
        <f t="shared" si="0"/>
        <v/>
      </c>
      <c r="H11" s="391" t="s">
        <v>137</v>
      </c>
      <c r="I11" s="397"/>
    </row>
    <row r="12" spans="1:9" s="393" customFormat="1" ht="24.95" customHeight="1">
      <c r="A12" s="387" t="s">
        <v>145</v>
      </c>
      <c r="B12" s="390"/>
      <c r="C12" s="398" t="s">
        <v>137</v>
      </c>
      <c r="D12" s="392"/>
      <c r="F12" s="387" t="s">
        <v>145</v>
      </c>
      <c r="G12" s="394" t="str">
        <f>IF(AND(ISNUMBER(B12)),B12,"")</f>
        <v/>
      </c>
      <c r="H12" s="398" t="s">
        <v>137</v>
      </c>
      <c r="I12" s="399"/>
    </row>
    <row r="13" spans="1:9" s="393" customFormat="1" ht="24.95" customHeight="1">
      <c r="A13" s="387" t="s">
        <v>146</v>
      </c>
      <c r="B13" s="390"/>
      <c r="C13" s="398" t="s">
        <v>137</v>
      </c>
      <c r="D13" s="392"/>
      <c r="F13" s="387" t="s">
        <v>146</v>
      </c>
      <c r="G13" s="394" t="str">
        <f>IF(AND(ISNUMBER(B13)),B13,"")</f>
        <v/>
      </c>
      <c r="H13" s="398" t="s">
        <v>137</v>
      </c>
      <c r="I13" s="395"/>
    </row>
    <row r="14" spans="1:9" s="393" customFormat="1" ht="24.95" customHeight="1">
      <c r="A14" s="387" t="s">
        <v>147</v>
      </c>
      <c r="B14" s="390"/>
      <c r="C14" s="398" t="s">
        <v>137</v>
      </c>
      <c r="D14" s="392"/>
      <c r="F14" s="387" t="s">
        <v>147</v>
      </c>
      <c r="G14" s="394" t="str">
        <f t="shared" si="0"/>
        <v/>
      </c>
      <c r="H14" s="398" t="s">
        <v>137</v>
      </c>
      <c r="I14" s="395"/>
    </row>
    <row r="15" spans="1:9" s="393" customFormat="1" ht="24.95" customHeight="1">
      <c r="A15" s="400" t="s">
        <v>148</v>
      </c>
      <c r="B15" s="390"/>
      <c r="C15" s="401" t="s">
        <v>137</v>
      </c>
      <c r="D15" s="392"/>
      <c r="F15" s="400" t="s">
        <v>148</v>
      </c>
      <c r="G15" s="394">
        <f>IF(AND(ISNUMBER(B15),(B15&gt;=0)),B15,0)</f>
        <v>0</v>
      </c>
      <c r="H15" s="401" t="s">
        <v>137</v>
      </c>
      <c r="I15" s="395"/>
    </row>
    <row r="16" spans="1:9" s="393" customFormat="1" ht="24.95" customHeight="1">
      <c r="A16" s="389" t="s">
        <v>149</v>
      </c>
      <c r="B16" s="390"/>
      <c r="C16" s="402" t="s">
        <v>150</v>
      </c>
      <c r="D16" s="392"/>
      <c r="F16" s="389" t="s">
        <v>151</v>
      </c>
      <c r="G16" s="394" t="str">
        <f t="shared" si="0"/>
        <v/>
      </c>
      <c r="H16" s="402" t="s">
        <v>152</v>
      </c>
      <c r="I16" s="395"/>
    </row>
    <row r="17" spans="1:9" s="393" customFormat="1" ht="24.95" customHeight="1" thickBot="1">
      <c r="A17" s="389" t="s">
        <v>153</v>
      </c>
      <c r="B17" s="390"/>
      <c r="C17" s="403" t="s">
        <v>137</v>
      </c>
      <c r="D17" s="404"/>
      <c r="F17" s="405" t="s">
        <v>153</v>
      </c>
      <c r="G17" s="406">
        <f>IF(AND(ISNUMBER(B17),(B17&gt;=0)),B17,0)</f>
        <v>0</v>
      </c>
      <c r="H17" s="407" t="s">
        <v>137</v>
      </c>
      <c r="I17" s="408"/>
    </row>
    <row r="18" spans="1:9" s="393" customFormat="1" ht="12.75">
      <c r="A18" s="396"/>
      <c r="B18" s="409"/>
      <c r="C18" s="402"/>
      <c r="D18" s="410"/>
    </row>
    <row r="19" spans="1:9" s="393" customFormat="1" ht="12.75">
      <c r="A19" s="396"/>
      <c r="B19" s="409"/>
      <c r="C19" s="411"/>
      <c r="D19" s="412"/>
    </row>
    <row r="20" spans="1:9" s="382" customFormat="1" ht="14.25" customHeight="1" thickBot="1">
      <c r="A20" s="413"/>
      <c r="C20" s="414"/>
    </row>
    <row r="21" spans="1:9" s="382" customFormat="1" ht="24.75" customHeight="1">
      <c r="A21" s="415" t="s">
        <v>154</v>
      </c>
      <c r="B21" s="416" t="s">
        <v>40</v>
      </c>
      <c r="C21" s="417"/>
      <c r="F21" s="993" t="s">
        <v>154</v>
      </c>
      <c r="G21" s="994"/>
      <c r="H21" s="995"/>
    </row>
    <row r="22" spans="1:9" s="382" customFormat="1" ht="24.75" customHeight="1">
      <c r="A22" s="387" t="s">
        <v>155</v>
      </c>
      <c r="B22" s="418" t="str">
        <f t="shared" ref="B22:B29" si="1">G22</f>
        <v/>
      </c>
      <c r="C22" s="398"/>
      <c r="F22" s="387" t="s">
        <v>155</v>
      </c>
      <c r="G22" s="419" t="str">
        <f>IF(AND(ISNUMBER(G5),ISNUMBER(G7),ISNUMBER(G8),ISNUMBER(G9),ISNUMBER(G10)),ROUND(300*G10/((G8+G9)*(2+G5/(G8+G9))),1),G7)</f>
        <v/>
      </c>
      <c r="H22" s="398"/>
      <c r="I22" s="420"/>
    </row>
    <row r="23" spans="1:9" s="393" customFormat="1" ht="24.95" customHeight="1">
      <c r="A23" s="387" t="s">
        <v>156</v>
      </c>
      <c r="B23" s="418" t="str">
        <f>IF(G23&gt;0,G23,0)</f>
        <v/>
      </c>
      <c r="C23" s="398" t="s">
        <v>137</v>
      </c>
      <c r="F23" s="387" t="s">
        <v>156</v>
      </c>
      <c r="G23" s="421" t="str">
        <f>IF(AND(ISNUMBER(G12),ISNUMBER(G13),ISNUMBER(G14),ISNUMBER(G15),ISNUMBER(G17)),
IF(G15&lt;&gt;0,
G12-(G13*1.63)-(G14-G15)*(1.63)-(G17*1),
G12-(G13*1.63)-(0-G15)*(1.63)-(G17*1)),G12)</f>
        <v/>
      </c>
      <c r="H23" s="398" t="s">
        <v>137</v>
      </c>
      <c r="I23" s="420"/>
    </row>
    <row r="24" spans="1:9" s="393" customFormat="1" ht="24.95" customHeight="1" thickBot="1">
      <c r="A24" s="387" t="s">
        <v>157</v>
      </c>
      <c r="B24" s="418" t="str">
        <f>IF(G24&gt;0,G24,0)</f>
        <v/>
      </c>
      <c r="C24" s="403" t="s">
        <v>150</v>
      </c>
      <c r="F24" s="387" t="s">
        <v>158</v>
      </c>
      <c r="G24" s="421" t="str">
        <f>IF(AND(ISNUMBER(G13),ISNUMBER(G14),ISNUMBER(G15),ISNUMBER(G16),ISNUMBER(G17)),
IF(G15&lt;&gt;0,
G16-G13*0.227-(G14-G15)*0.227-(G17*0.227),
G16-G13*0.227-(0-G15)*0.227-(G17*0.227)),G16)</f>
        <v/>
      </c>
      <c r="H24" s="391" t="s">
        <v>152</v>
      </c>
      <c r="I24" s="420"/>
    </row>
    <row r="25" spans="1:9" s="420" customFormat="1" ht="24.95" customHeight="1" thickBot="1">
      <c r="A25" s="422" t="s">
        <v>159</v>
      </c>
      <c r="B25" s="423" t="str">
        <f t="shared" si="1"/>
        <v/>
      </c>
      <c r="C25" s="424"/>
      <c r="D25" s="425"/>
      <c r="F25" s="426" t="s">
        <v>159</v>
      </c>
      <c r="G25" s="427" t="str">
        <f>IF(ISNUMBER(G6),IF(G6&lt;=G35,H35,IF(AND(G6&lt;=G34,G6&gt;G35),ROUND(H35+(H34-H35)/(G34-G35)*(G6-G35),H34),"Mindestanforderung nicht erfüllt")),"")</f>
        <v/>
      </c>
      <c r="H25" s="428"/>
    </row>
    <row r="26" spans="1:9" s="420" customFormat="1" ht="24.95" customHeight="1" thickBot="1">
      <c r="A26" s="429" t="s">
        <v>160</v>
      </c>
      <c r="B26" s="430" t="str">
        <f t="shared" si="1"/>
        <v/>
      </c>
      <c r="C26" s="431"/>
      <c r="F26" s="432" t="s">
        <v>160</v>
      </c>
      <c r="G26" s="427" t="str">
        <f>IF(ISNUMBER(G22),IF(G22&lt;=G37,H37,IF(AND(G22&lt;=G36,G22&gt;G37),ROUND(H37+(H36-H37)/(G36-G37)*(G22-G37),H36),"Mindestanforderung nicht erfüllt")),"")</f>
        <v/>
      </c>
      <c r="H26" s="433"/>
    </row>
    <row r="27" spans="1:9" s="420" customFormat="1" ht="24.95" customHeight="1" thickBot="1">
      <c r="A27" s="422" t="s">
        <v>161</v>
      </c>
      <c r="B27" s="434" t="str">
        <f t="shared" si="1"/>
        <v/>
      </c>
      <c r="C27" s="431"/>
      <c r="F27" s="426" t="s">
        <v>161</v>
      </c>
      <c r="G27" s="427" t="str">
        <f>IF(ISNUMBER(G11),IF(G11&lt;=G39,H39,IF(AND(G11&lt;=G38,G11&gt;G39),ROUND(H39+(H38-H39)/(G38-G39)*(G11-G39),H38),"Mindestanforderung nicht erfüllt")),"")</f>
        <v/>
      </c>
      <c r="H27" s="433"/>
    </row>
    <row r="28" spans="1:9" ht="24.95" customHeight="1" thickBot="1">
      <c r="A28" s="429" t="s">
        <v>162</v>
      </c>
      <c r="B28" s="430" t="str">
        <f t="shared" si="1"/>
        <v/>
      </c>
      <c r="C28" s="435"/>
      <c r="D28" s="436"/>
      <c r="F28" s="432" t="s">
        <v>162</v>
      </c>
      <c r="G28" s="427" t="str">
        <f>IF(ISNUMBER(G23),IF(G23&lt;=G41,H41,IF(AND(G23&lt;=G40,G23&gt;G41),ROUND(H41+(H40-H41)/(G40-G41)*(G23-G41),H40),"Mindestanforderung nicht erfüllt")),"")</f>
        <v/>
      </c>
      <c r="H28" s="411"/>
    </row>
    <row r="29" spans="1:9" ht="24.95" customHeight="1" thickBot="1">
      <c r="A29" s="438" t="s">
        <v>163</v>
      </c>
      <c r="B29" s="423" t="str">
        <f t="shared" si="1"/>
        <v/>
      </c>
      <c r="C29" s="439"/>
      <c r="F29" s="429" t="s">
        <v>164</v>
      </c>
      <c r="G29" s="427" t="str">
        <f>IF(ISNUMBER(G24),IF(G24&lt;=G43,H43,IF(AND(G24&lt;=G42,G24&gt;G43),ROUND(H43+(H42-H43)/(G42-G43)*(G24-G43),H42),"Mindestanforderung nicht erfüllt")),"")</f>
        <v/>
      </c>
      <c r="H29" s="439"/>
    </row>
    <row r="31" spans="1:9">
      <c r="B31" s="440"/>
    </row>
    <row r="32" spans="1:9" ht="15" thickBot="1"/>
    <row r="33" spans="6:8">
      <c r="F33" s="480"/>
      <c r="G33" s="481" t="s">
        <v>165</v>
      </c>
      <c r="H33" s="482" t="s">
        <v>40</v>
      </c>
    </row>
    <row r="34" spans="6:8" ht="15.75">
      <c r="F34" s="483" t="s">
        <v>166</v>
      </c>
      <c r="G34" s="484">
        <v>52</v>
      </c>
      <c r="H34" s="485">
        <v>0</v>
      </c>
    </row>
    <row r="35" spans="6:8" ht="15.75">
      <c r="F35" s="483" t="s">
        <v>167</v>
      </c>
      <c r="G35" s="484">
        <v>15</v>
      </c>
      <c r="H35" s="485">
        <v>40</v>
      </c>
    </row>
    <row r="36" spans="6:8" ht="15.75">
      <c r="F36" s="483" t="s">
        <v>168</v>
      </c>
      <c r="G36" s="484">
        <v>24</v>
      </c>
      <c r="H36" s="485">
        <v>0</v>
      </c>
    </row>
    <row r="37" spans="6:8" ht="15.75">
      <c r="F37" s="483" t="s">
        <v>169</v>
      </c>
      <c r="G37" s="484">
        <v>15</v>
      </c>
      <c r="H37" s="485">
        <v>50</v>
      </c>
    </row>
    <row r="38" spans="6:8" ht="15.75">
      <c r="F38" s="483" t="s">
        <v>170</v>
      </c>
      <c r="G38" s="484">
        <v>30</v>
      </c>
      <c r="H38" s="485">
        <v>0</v>
      </c>
    </row>
    <row r="39" spans="6:8" ht="15.75">
      <c r="F39" s="483" t="s">
        <v>171</v>
      </c>
      <c r="G39" s="484">
        <v>12</v>
      </c>
      <c r="H39" s="485">
        <v>45</v>
      </c>
    </row>
    <row r="40" spans="6:8" ht="15.75">
      <c r="F40" s="483" t="s">
        <v>172</v>
      </c>
      <c r="G40" s="484">
        <v>112</v>
      </c>
      <c r="H40" s="485">
        <v>0</v>
      </c>
    </row>
    <row r="41" spans="6:8" ht="15.75">
      <c r="F41" s="483" t="s">
        <v>173</v>
      </c>
      <c r="G41" s="484">
        <v>43</v>
      </c>
      <c r="H41" s="485">
        <v>120</v>
      </c>
    </row>
    <row r="42" spans="6:8" ht="15.75">
      <c r="F42" s="483" t="s">
        <v>174</v>
      </c>
      <c r="G42" s="484">
        <v>18</v>
      </c>
      <c r="H42" s="485">
        <v>0</v>
      </c>
    </row>
    <row r="43" spans="6:8" ht="16.5" thickBot="1">
      <c r="F43" s="441" t="s">
        <v>175</v>
      </c>
      <c r="G43" s="442">
        <v>0</v>
      </c>
      <c r="H43" s="443">
        <v>135</v>
      </c>
    </row>
  </sheetData>
  <sheetProtection selectLockedCells="1"/>
  <mergeCells count="4">
    <mergeCell ref="A1:D1"/>
    <mergeCell ref="F1:H1"/>
    <mergeCell ref="F3:H3"/>
    <mergeCell ref="F21:H21"/>
  </mergeCells>
  <dataValidations count="1">
    <dataValidation allowBlank="1" showInputMessage="1" showErrorMessage="1" prompt="Angabe entnehmen aus Ausdruck OIB- Energieausweis (Seite2)" sqref="B4:B17" xr:uid="{00000000-0002-0000-0800-000000000000}"/>
  </dataValidations>
  <printOptions horizontalCentered="1"/>
  <pageMargins left="0.59055118110236227" right="0.59055118110236227" top="0.59055118110236227" bottom="0.59055118110236227" header="0.31496062992125984" footer="0.31496062992125984"/>
  <pageSetup paperSize="9"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22D5A955D597D478B3F535215E7E5D6" ma:contentTypeVersion="15" ma:contentTypeDescription="Ein neues Dokument erstellen." ma:contentTypeScope="" ma:versionID="0d9912d526b2578a11fab8d0df0cf34c">
  <xsd:schema xmlns:xsd="http://www.w3.org/2001/XMLSchema" xmlns:xs="http://www.w3.org/2001/XMLSchema" xmlns:p="http://schemas.microsoft.com/office/2006/metadata/properties" xmlns:ns2="a6081b03-2a40-4a72-92f3-e27db004df69" xmlns:ns3="cf30bd56-e01e-4391-9850-ada34396b374" targetNamespace="http://schemas.microsoft.com/office/2006/metadata/properties" ma:root="true" ma:fieldsID="f13a24090bbaa798579c5b163c9250ae" ns2:_="" ns3:_="">
    <xsd:import namespace="a6081b03-2a40-4a72-92f3-e27db004df69"/>
    <xsd:import namespace="cf30bd56-e01e-4391-9850-ada34396b37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081b03-2a40-4a72-92f3-e27db004df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2231abc8-4556-4484-b6ee-5cd59887ff8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30bd56-e01e-4391-9850-ada34396b37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98b530e-a13c-45a9-be77-cd84a30631c3}" ma:internalName="TaxCatchAll" ma:showField="CatchAllData" ma:web="cf30bd56-e01e-4391-9850-ada34396b37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f30bd56-e01e-4391-9850-ada34396b374" xsi:nil="true"/>
    <lcf76f155ced4ddcb4097134ff3c332f xmlns="a6081b03-2a40-4a72-92f3-e27db004df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5AE617-1BE1-4514-BFFA-CEE226EF90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081b03-2a40-4a72-92f3-e27db004df69"/>
    <ds:schemaRef ds:uri="cf30bd56-e01e-4391-9850-ada34396b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ED037E-3BF2-4904-8BE2-B2D4F6C66D2F}">
  <ds:schemaRefs>
    <ds:schemaRef ds:uri="http://purl.org/dc/terms/"/>
    <ds:schemaRef ds:uri="http://schemas.microsoft.com/office/infopath/2007/PartnerControls"/>
    <ds:schemaRef ds:uri="http://schemas.microsoft.com/office/2006/documentManagement/types"/>
    <ds:schemaRef ds:uri="cf30bd56-e01e-4391-9850-ada34396b374"/>
    <ds:schemaRef ds:uri="http://purl.org/dc/elements/1.1/"/>
    <ds:schemaRef ds:uri="http://schemas.microsoft.com/office/2006/metadata/properties"/>
    <ds:schemaRef ds:uri="a6081b03-2a40-4a72-92f3-e27db004df69"/>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455F752-E41A-4C15-ADA1-DC662F6508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vt:i4>
      </vt:variant>
    </vt:vector>
  </HeadingPairs>
  <TitlesOfParts>
    <vt:vector size="16" baseType="lpstr">
      <vt:lpstr>Deckblatt</vt:lpstr>
      <vt:lpstr>Punktevergabe</vt:lpstr>
      <vt:lpstr>A.3</vt:lpstr>
      <vt:lpstr>A.4</vt:lpstr>
      <vt:lpstr>A.6</vt:lpstr>
      <vt:lpstr>A.7</vt:lpstr>
      <vt:lpstr>A.8</vt:lpstr>
      <vt:lpstr>Komm. Beurteilung</vt:lpstr>
      <vt:lpstr>B1b </vt:lpstr>
      <vt:lpstr>B1b Graphik</vt:lpstr>
      <vt:lpstr>B.3</vt:lpstr>
      <vt:lpstr>C.1</vt:lpstr>
      <vt:lpstr>C.2</vt:lpstr>
      <vt:lpstr>D.1</vt:lpstr>
      <vt:lpstr>D.2</vt:lpstr>
      <vt:lpstr>'Komm. Beurteilung'!Druckbereich</vt:lpstr>
    </vt:vector>
  </TitlesOfParts>
  <Manager/>
  <Company>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Rechenknecht</dc:creator>
  <cp:keywords/>
  <dc:description/>
  <cp:lastModifiedBy>Simon Nussbaumer</cp:lastModifiedBy>
  <cp:revision/>
  <dcterms:created xsi:type="dcterms:W3CDTF">2005-07-27T13:49:14Z</dcterms:created>
  <dcterms:modified xsi:type="dcterms:W3CDTF">2026-01-19T08:45:35Z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0x010100622D5A955D597D478B3F535215E7E5D6</vt:lpwstr>
  </property>
  <property fmtid="{D5CDD505-2E9C-101B-9397-08002B2CF9AE}" pid="3" name="MediaServiceImageTags">
    <vt:lpwstr/>
  </property>
</Properties>
</file>